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afi001\0014300福祉局\0014305生活福祉部\0014325国保年金課\R7年度\11 国保事業係\106_ＱＡ・問い合わせ\ホームページ\40_保険税試算ツール(ホームページ用）\令和8年度\"/>
    </mc:Choice>
  </mc:AlternateContent>
  <xr:revisionPtr revIDLastSave="0" documentId="13_ncr:1_{2E230B47-F9AB-4583-8F1F-24009C7EA393}" xr6:coauthVersionLast="47" xr6:coauthVersionMax="47" xr10:uidLastSave="{00000000-0000-0000-0000-000000000000}"/>
  <bookViews>
    <workbookView xWindow="-108" yWindow="-108" windowWidth="23256" windowHeight="12456" xr2:uid="{00000000-000D-0000-FFFF-FFFF00000000}"/>
  </bookViews>
  <sheets>
    <sheet name="試算表" sheetId="1" r:id="rId1"/>
  </sheets>
  <definedNames>
    <definedName name="AGE_0">試算表!$CD$1</definedName>
    <definedName name="AGE_1">試算表!$CD$3</definedName>
    <definedName name="AGE_2">試算表!$CD$5</definedName>
    <definedName name="AGE_3">試算表!$CD$6</definedName>
    <definedName name="AGE_4">試算表!$CD$2</definedName>
    <definedName name="AGE_5">試算表!$CD$4</definedName>
    <definedName name="AGE_6">試算表!$CD$7</definedName>
    <definedName name="GND">試算表!$BL$33</definedName>
    <definedName name="IR_BYO">試算表!$CD$30</definedName>
    <definedName name="IR_GND">試算表!$CD$31</definedName>
    <definedName name="IR_KIN">試算表!$CD$29</definedName>
    <definedName name="IR_SAN">試算表!$CD$28</definedName>
    <definedName name="IR_SYT">試算表!$CD$27</definedName>
    <definedName name="KANYU">試算表!$B$14</definedName>
    <definedName name="KD_18KIN">試算表!$CD$45</definedName>
    <definedName name="KD_BYO">試算表!$CD$46</definedName>
    <definedName name="KD_GND">試算表!$CD$47</definedName>
    <definedName name="KD_KIN">試算表!$CD$44</definedName>
    <definedName name="KD_SAN">試算表!$CD$43</definedName>
    <definedName name="KD_SYT">試算表!$CD$42</definedName>
    <definedName name="KG_BYO">試算表!$CD$40</definedName>
    <definedName name="KG_GND">試算表!$CD$41</definedName>
    <definedName name="KG_KIN">試算表!$CD$39</definedName>
    <definedName name="KG_SAN">試算表!$CD$38</definedName>
    <definedName name="KG_SYT">試算表!$CD$37</definedName>
    <definedName name="KGN">試算表!$BM$26</definedName>
    <definedName name="KISO_0">試算表!$CG$33</definedName>
    <definedName name="KISO_1">試算表!$CG$34</definedName>
    <definedName name="KISO_2">試算表!$CG$35</definedName>
    <definedName name="KISO_3">試算表!$CG$36</definedName>
    <definedName name="KJ_0">試算表!$CI$13</definedName>
    <definedName name="KJ_1">試算表!$CI$14</definedName>
    <definedName name="KJ_10">試算表!$CI$18</definedName>
    <definedName name="KJ_7">試算表!$CI$15</definedName>
    <definedName name="KJ_8">試算表!$CI$16</definedName>
    <definedName name="KJ_9">試算表!$CI$17</definedName>
    <definedName name="KR_7">試算表!$CH$15</definedName>
    <definedName name="KR_8">試算表!$CH$16</definedName>
    <definedName name="KR_9">試算表!$CH$17</definedName>
    <definedName name="KS_0">試算表!$CG$13</definedName>
    <definedName name="KS_1">試算表!$CG$14</definedName>
    <definedName name="KS_10">試算表!$CG$18</definedName>
    <definedName name="KS_7">試算表!$CG$15</definedName>
    <definedName name="KS_8">試算表!$CG$16</definedName>
    <definedName name="KS_9">試算表!$CG$17</definedName>
    <definedName name="KS_KJ_0">試算表!$CI$33</definedName>
    <definedName name="KS_KJ_1">試算表!$CI$34</definedName>
    <definedName name="KS_KJ_2">試算表!$CI$35</definedName>
    <definedName name="KS_KJ_3">試算表!$CI$36</definedName>
    <definedName name="NK_64_0">試算表!$CI$21</definedName>
    <definedName name="NK_64_1">試算表!$CI$22</definedName>
    <definedName name="NK_64_2">試算表!$CI$23</definedName>
    <definedName name="NK_64_3">試算表!$CI$24</definedName>
    <definedName name="NK_64_4">試算表!$CI$25</definedName>
    <definedName name="NK_65_0">試算表!$CI$26</definedName>
    <definedName name="NK_65_1">試算表!$CI$27</definedName>
    <definedName name="NK_65_2">試算表!$CI$28</definedName>
    <definedName name="NK_65_3">試算表!$CI$29</definedName>
    <definedName name="NK_65_4">試算表!$CI$30</definedName>
    <definedName name="NR_64_1">試算表!$CH$22</definedName>
    <definedName name="NR_64_2">試算表!$CH$23</definedName>
    <definedName name="NR_64_3">試算表!$CH$24</definedName>
    <definedName name="NR_65_1">試算表!$CH$27</definedName>
    <definedName name="NR_65_2">試算表!$CH$28</definedName>
    <definedName name="NR_65_3">試算表!$CH$29</definedName>
    <definedName name="NS_64_0">試算表!$CG$21</definedName>
    <definedName name="NS_64_1">試算表!$CG$22</definedName>
    <definedName name="NS_64_2">試算表!$CG$23</definedName>
    <definedName name="NS_64_3">試算表!$CG$24</definedName>
    <definedName name="NS_64_4">試算表!$CG$25</definedName>
    <definedName name="NS_65_0">試算表!$CG$26</definedName>
    <definedName name="NS_65_1">試算表!$CG$27</definedName>
    <definedName name="NS_65_2">試算表!$CG$28</definedName>
    <definedName name="NS_65_3">試算表!$CG$29</definedName>
    <definedName name="NS_65_4">試算表!$CG$30</definedName>
    <definedName name="_xlnm.Print_Area" localSheetId="0">試算表!$A$1:$BF$41</definedName>
    <definedName name="SI_BYO">試算表!$CD$35</definedName>
    <definedName name="SI_GND">試算表!$CD$36</definedName>
    <definedName name="SI_KIN">試算表!$CD$34</definedName>
    <definedName name="SI_SAN">試算表!$CD$33</definedName>
    <definedName name="SI_SYT">試算表!$CD$32</definedName>
    <definedName name="お知らせ">試算表!$BL$35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O25" i="1" l="1"/>
  <c r="BN25" i="1"/>
  <c r="BZ13" i="1"/>
  <c r="CA13" i="1" l="1"/>
  <c r="BZ14" i="1"/>
  <c r="BZ15" i="1"/>
  <c r="BZ16" i="1"/>
  <c r="BZ17" i="1"/>
  <c r="BZ18" i="1"/>
  <c r="BZ19" i="1"/>
  <c r="BZ20" i="1"/>
  <c r="BU13" i="1"/>
  <c r="BY16" i="1"/>
  <c r="BY17" i="1"/>
  <c r="BY18" i="1"/>
  <c r="BY19" i="1"/>
  <c r="BY20" i="1"/>
  <c r="BP13" i="1"/>
  <c r="BP14" i="1"/>
  <c r="BP15" i="1"/>
  <c r="BP16" i="1"/>
  <c r="BP17" i="1"/>
  <c r="BP18" i="1"/>
  <c r="BP19" i="1"/>
  <c r="BP20" i="1"/>
  <c r="BO16" i="1"/>
  <c r="BO17" i="1"/>
  <c r="BO18" i="1"/>
  <c r="BO19" i="1"/>
  <c r="BO20" i="1"/>
  <c r="BM16" i="1"/>
  <c r="BM17" i="1"/>
  <c r="BM18" i="1"/>
  <c r="BM19" i="1"/>
  <c r="BM20" i="1"/>
  <c r="BN13" i="1"/>
  <c r="BN14" i="1"/>
  <c r="BN15" i="1"/>
  <c r="BN16" i="1"/>
  <c r="BN17" i="1"/>
  <c r="BN18" i="1"/>
  <c r="BN19" i="1"/>
  <c r="BN20" i="1"/>
  <c r="BH20" i="1"/>
  <c r="BH19" i="1"/>
  <c r="BH18" i="1"/>
  <c r="BH17" i="1"/>
  <c r="BH16" i="1"/>
  <c r="BH15" i="1"/>
  <c r="BH14" i="1"/>
  <c r="BH13" i="1"/>
  <c r="BL33" i="1" l="1"/>
  <c r="CB13" i="1"/>
  <c r="CB14" i="1"/>
  <c r="CA14" i="1" l="1"/>
  <c r="BI20" i="1"/>
  <c r="BJ20" i="1" s="1"/>
  <c r="BI19" i="1"/>
  <c r="BJ19" i="1" s="1"/>
  <c r="BI18" i="1"/>
  <c r="BJ18" i="1" s="1"/>
  <c r="BI17" i="1"/>
  <c r="BJ17" i="1" s="1"/>
  <c r="BI16" i="1"/>
  <c r="BJ16" i="1" s="1"/>
  <c r="BI15" i="1"/>
  <c r="BJ15" i="1" s="1"/>
  <c r="BI14" i="1"/>
  <c r="BJ14" i="1" s="1"/>
  <c r="BI13" i="1"/>
  <c r="BJ13" i="1" s="1"/>
  <c r="CB20" i="1" l="1"/>
  <c r="CB19" i="1"/>
  <c r="CB18" i="1"/>
  <c r="CB17" i="1"/>
  <c r="CB16" i="1"/>
  <c r="CB15" i="1"/>
  <c r="CA20" i="1"/>
  <c r="CA19" i="1"/>
  <c r="CA18" i="1"/>
  <c r="CA17" i="1"/>
  <c r="CA16" i="1"/>
  <c r="CA15" i="1"/>
  <c r="BL35" i="1" l="1"/>
  <c r="BW20" i="1" l="1"/>
  <c r="BW19" i="1"/>
  <c r="BW18" i="1"/>
  <c r="BW17" i="1"/>
  <c r="BW16" i="1"/>
  <c r="BW15" i="1"/>
  <c r="BW14" i="1"/>
  <c r="BW13" i="1"/>
  <c r="BU20" i="1"/>
  <c r="BU19" i="1"/>
  <c r="BU18" i="1"/>
  <c r="BU17" i="1"/>
  <c r="BU16" i="1"/>
  <c r="BU15" i="1"/>
  <c r="BU14" i="1"/>
  <c r="BS20" i="1"/>
  <c r="BS19" i="1"/>
  <c r="BS18" i="1"/>
  <c r="BS17" i="1"/>
  <c r="BS16" i="1"/>
  <c r="BS15" i="1"/>
  <c r="BS14" i="1"/>
  <c r="BS13" i="1"/>
  <c r="BF20" i="1" l="1"/>
  <c r="BF19" i="1"/>
  <c r="BF18" i="1"/>
  <c r="BF17" i="1"/>
  <c r="BF16" i="1"/>
  <c r="BF15" i="1"/>
  <c r="BF14" i="1"/>
  <c r="BF13" i="1"/>
  <c r="AL25" i="1" l="1"/>
  <c r="AL24" i="1"/>
  <c r="AL23" i="1"/>
  <c r="AL22" i="1"/>
  <c r="AL21" i="1"/>
  <c r="AL20" i="1"/>
  <c r="AL19" i="1"/>
  <c r="BK20" i="1" l="1"/>
  <c r="BK14" i="1"/>
  <c r="BK18" i="1" l="1"/>
  <c r="AF23" i="1" s="1"/>
  <c r="AR23" i="1" s="1"/>
  <c r="BL18" i="1" s="1"/>
  <c r="AF19" i="1"/>
  <c r="AR19" i="1" s="1"/>
  <c r="BL14" i="1" s="1"/>
  <c r="AF25" i="1"/>
  <c r="AR25" i="1" s="1"/>
  <c r="BL20" i="1" s="1"/>
  <c r="BK16" i="1"/>
  <c r="BK15" i="1" l="1"/>
  <c r="AF20" i="1" s="1"/>
  <c r="AR20" i="1" s="1"/>
  <c r="BL15" i="1" s="1"/>
  <c r="BK19" i="1"/>
  <c r="AF24" i="1" s="1"/>
  <c r="AR24" i="1" s="1"/>
  <c r="BL19" i="1" s="1"/>
  <c r="BK17" i="1"/>
  <c r="AF22" i="1" s="1"/>
  <c r="AR22" i="1" s="1"/>
  <c r="BL17" i="1" s="1"/>
  <c r="AF21" i="1"/>
  <c r="AR21" i="1" s="1"/>
  <c r="BL16" i="1" s="1"/>
  <c r="BM23" i="1" l="1"/>
  <c r="BR20" i="1"/>
  <c r="BR19" i="1"/>
  <c r="BR18" i="1"/>
  <c r="BR17" i="1"/>
  <c r="BR16" i="1"/>
  <c r="BR15" i="1"/>
  <c r="BR14" i="1"/>
  <c r="BR13" i="1"/>
  <c r="BQ20" i="1"/>
  <c r="BQ19" i="1"/>
  <c r="BQ18" i="1"/>
  <c r="BQ17" i="1"/>
  <c r="BQ16" i="1"/>
  <c r="BQ15" i="1"/>
  <c r="BV21" i="1" l="1"/>
  <c r="AL18" i="1"/>
  <c r="BK13" i="1" s="1"/>
  <c r="AF18" i="1" s="1"/>
  <c r="AR18" i="1" s="1"/>
  <c r="BE20" i="1" l="1"/>
  <c r="BE19" i="1"/>
  <c r="BE18" i="1"/>
  <c r="BE17" i="1"/>
  <c r="BE16" i="1"/>
  <c r="BE15" i="1"/>
  <c r="BE14" i="1"/>
  <c r="BE13" i="1"/>
  <c r="BG20" i="1" l="1"/>
  <c r="BG18" i="1"/>
  <c r="BG19" i="1"/>
  <c r="BG16" i="1"/>
  <c r="BG15" i="1"/>
  <c r="BG17" i="1"/>
  <c r="BG14" i="1"/>
  <c r="BG13" i="1"/>
  <c r="BN23" i="1" l="1"/>
  <c r="BX21" i="1" l="1"/>
  <c r="AX20" i="1" l="1"/>
  <c r="AX21" i="1"/>
  <c r="AX23" i="1"/>
  <c r="AX25" i="1"/>
  <c r="AX24" i="1"/>
  <c r="AX19" i="1"/>
  <c r="AX22" i="1"/>
  <c r="BO14" i="1" l="1"/>
  <c r="BY14" i="1"/>
  <c r="BM14" i="1"/>
  <c r="BM15" i="1"/>
  <c r="BO15" i="1"/>
  <c r="BY15" i="1"/>
  <c r="BQ14" i="1"/>
  <c r="CC21" i="1" l="1"/>
  <c r="BT21" i="1"/>
  <c r="BM25" i="1"/>
  <c r="AX18" i="1"/>
  <c r="BO13" i="1" l="1"/>
  <c r="BM13" i="1"/>
  <c r="L37" i="1" s="1"/>
  <c r="BY13" i="1"/>
  <c r="AA37" i="1" s="1"/>
  <c r="BL13" i="1"/>
  <c r="BM27" i="1" s="1"/>
  <c r="BM26" i="1" s="1"/>
  <c r="Q37" i="1"/>
  <c r="BQ13" i="1"/>
  <c r="V37" i="1" s="1"/>
  <c r="BM28" i="1" l="1"/>
  <c r="C11" i="1"/>
  <c r="R33" i="1"/>
  <c r="Q38" i="1" l="1"/>
  <c r="Q39" i="1" s="1"/>
  <c r="Q40" i="1" s="1"/>
  <c r="Q41" i="1" s="1"/>
  <c r="Q42" i="1" s="1"/>
  <c r="AA38" i="1"/>
  <c r="AA39" i="1" s="1"/>
  <c r="AA40" i="1" s="1"/>
  <c r="AA41" i="1" s="1"/>
  <c r="AA42" i="1" s="1"/>
  <c r="L38" i="1"/>
  <c r="L39" i="1" s="1"/>
  <c r="L40" i="1" s="1"/>
  <c r="L41" i="1" s="1"/>
  <c r="L42" i="1" s="1"/>
  <c r="V38" i="1"/>
  <c r="V39" i="1" s="1"/>
  <c r="V40" i="1" l="1"/>
  <c r="V41" i="1" s="1"/>
  <c r="V42" i="1" s="1"/>
  <c r="B10" i="1" s="1"/>
  <c r="R31" i="1" l="1"/>
  <c r="Q10" i="1" s="1"/>
</calcChain>
</file>

<file path=xl/sharedStrings.xml><?xml version="1.0" encoding="utf-8"?>
<sst xmlns="http://schemas.openxmlformats.org/spreadsheetml/2006/main" count="175" uniqueCount="131">
  <si>
    <t>１．加入期間を選択してください。</t>
    <rPh sb="2" eb="4">
      <t>カニュウ</t>
    </rPh>
    <rPh sb="4" eb="6">
      <t>キカン</t>
    </rPh>
    <rPh sb="7" eb="9">
      <t>センタク</t>
    </rPh>
    <phoneticPr fontId="2"/>
  </si>
  <si>
    <t>40歳～64歳</t>
    <rPh sb="2" eb="3">
      <t>サイ</t>
    </rPh>
    <rPh sb="6" eb="7">
      <t>サイ</t>
    </rPh>
    <phoneticPr fontId="2"/>
  </si>
  <si>
    <t>65歳～74歳</t>
    <rPh sb="2" eb="3">
      <t>サイ</t>
    </rPh>
    <rPh sb="6" eb="7">
      <t>サイ</t>
    </rPh>
    <phoneticPr fontId="2"/>
  </si>
  <si>
    <t>医療所得割</t>
    <rPh sb="0" eb="2">
      <t>イリョウ</t>
    </rPh>
    <rPh sb="2" eb="4">
      <t>ショトク</t>
    </rPh>
    <rPh sb="4" eb="5">
      <t>ワリ</t>
    </rPh>
    <phoneticPr fontId="2"/>
  </si>
  <si>
    <t>医療均等割</t>
    <rPh sb="0" eb="2">
      <t>イリョウ</t>
    </rPh>
    <rPh sb="2" eb="5">
      <t>キントウワリ</t>
    </rPh>
    <phoneticPr fontId="2"/>
  </si>
  <si>
    <t>支援所得割</t>
    <rPh sb="0" eb="2">
      <t>シエン</t>
    </rPh>
    <rPh sb="2" eb="4">
      <t>ショトク</t>
    </rPh>
    <rPh sb="4" eb="5">
      <t>ワリ</t>
    </rPh>
    <phoneticPr fontId="2"/>
  </si>
  <si>
    <t>支援均等割</t>
    <rPh sb="0" eb="2">
      <t>シエン</t>
    </rPh>
    <rPh sb="2" eb="5">
      <t>キントウワリ</t>
    </rPh>
    <phoneticPr fontId="2"/>
  </si>
  <si>
    <t>介護所得割</t>
    <rPh sb="0" eb="2">
      <t>カイゴ</t>
    </rPh>
    <rPh sb="2" eb="4">
      <t>ショトク</t>
    </rPh>
    <rPh sb="4" eb="5">
      <t>ワリ</t>
    </rPh>
    <phoneticPr fontId="2"/>
  </si>
  <si>
    <t>介護均等割</t>
    <rPh sb="0" eb="2">
      <t>カイゴ</t>
    </rPh>
    <rPh sb="2" eb="5">
      <t>キントウワリ</t>
    </rPh>
    <phoneticPr fontId="2"/>
  </si>
  <si>
    <t>円</t>
    <rPh sb="0" eb="1">
      <t>エン</t>
    </rPh>
    <phoneticPr fontId="2"/>
  </si>
  <si>
    <t>区分</t>
    <rPh sb="0" eb="2">
      <t>クブン</t>
    </rPh>
    <phoneticPr fontId="2"/>
  </si>
  <si>
    <t>医療分</t>
    <rPh sb="0" eb="2">
      <t>イリョウ</t>
    </rPh>
    <rPh sb="2" eb="3">
      <t>ブン</t>
    </rPh>
    <phoneticPr fontId="2"/>
  </si>
  <si>
    <t>①所得割額</t>
    <rPh sb="1" eb="3">
      <t>ショトク</t>
    </rPh>
    <rPh sb="3" eb="4">
      <t>ワリ</t>
    </rPh>
    <rPh sb="4" eb="5">
      <t>ガク</t>
    </rPh>
    <phoneticPr fontId="2"/>
  </si>
  <si>
    <t>医療資産割</t>
    <rPh sb="0" eb="2">
      <t>イリョウ</t>
    </rPh>
    <rPh sb="2" eb="4">
      <t>シサン</t>
    </rPh>
    <rPh sb="4" eb="5">
      <t>ワリ</t>
    </rPh>
    <phoneticPr fontId="2"/>
  </si>
  <si>
    <t>医療平等割</t>
    <rPh sb="0" eb="2">
      <t>イリョウ</t>
    </rPh>
    <rPh sb="2" eb="4">
      <t>ビョウドウ</t>
    </rPh>
    <rPh sb="4" eb="5">
      <t>ワリ</t>
    </rPh>
    <phoneticPr fontId="2"/>
  </si>
  <si>
    <t>支援資産割</t>
    <rPh sb="0" eb="2">
      <t>シエン</t>
    </rPh>
    <rPh sb="2" eb="4">
      <t>シサン</t>
    </rPh>
    <rPh sb="4" eb="5">
      <t>ワリ</t>
    </rPh>
    <phoneticPr fontId="2"/>
  </si>
  <si>
    <t>支援平等割</t>
    <rPh sb="0" eb="2">
      <t>シエン</t>
    </rPh>
    <rPh sb="2" eb="4">
      <t>ビョウドウ</t>
    </rPh>
    <rPh sb="4" eb="5">
      <t>ワリ</t>
    </rPh>
    <phoneticPr fontId="2"/>
  </si>
  <si>
    <t>介護資産割</t>
    <rPh sb="0" eb="2">
      <t>カイゴ</t>
    </rPh>
    <rPh sb="2" eb="4">
      <t>シサン</t>
    </rPh>
    <rPh sb="4" eb="5">
      <t>ワリ</t>
    </rPh>
    <phoneticPr fontId="2"/>
  </si>
  <si>
    <t>介護平等割</t>
    <rPh sb="0" eb="2">
      <t>カイゴ</t>
    </rPh>
    <rPh sb="2" eb="4">
      <t>ビョウドウ</t>
    </rPh>
    <rPh sb="4" eb="5">
      <t>ワリ</t>
    </rPh>
    <phoneticPr fontId="2"/>
  </si>
  <si>
    <t>軽減人数</t>
    <rPh sb="0" eb="2">
      <t>ケイゲン</t>
    </rPh>
    <rPh sb="2" eb="4">
      <t>ニンズウ</t>
    </rPh>
    <phoneticPr fontId="2"/>
  </si>
  <si>
    <t>７軽</t>
    <rPh sb="1" eb="2">
      <t>ケイ</t>
    </rPh>
    <phoneticPr fontId="2"/>
  </si>
  <si>
    <t>５軽</t>
    <rPh sb="1" eb="2">
      <t>ケイ</t>
    </rPh>
    <phoneticPr fontId="2"/>
  </si>
  <si>
    <t>７割</t>
    <rPh sb="1" eb="2">
      <t>ワリ</t>
    </rPh>
    <phoneticPr fontId="2"/>
  </si>
  <si>
    <t>５割</t>
    <rPh sb="1" eb="2">
      <t>ワリ</t>
    </rPh>
    <phoneticPr fontId="2"/>
  </si>
  <si>
    <t>２割</t>
    <rPh sb="1" eb="2">
      <t>ワリ</t>
    </rPh>
    <phoneticPr fontId="2"/>
  </si>
  <si>
    <t>２軽</t>
    <rPh sb="1" eb="2">
      <t>ケイ</t>
    </rPh>
    <phoneticPr fontId="2"/>
  </si>
  <si>
    <t>医療</t>
    <rPh sb="0" eb="2">
      <t>イリョウ</t>
    </rPh>
    <phoneticPr fontId="2"/>
  </si>
  <si>
    <t>所得割率</t>
    <rPh sb="0" eb="2">
      <t>ショトク</t>
    </rPh>
    <rPh sb="2" eb="3">
      <t>ワリ</t>
    </rPh>
    <rPh sb="3" eb="4">
      <t>リツ</t>
    </rPh>
    <phoneticPr fontId="2"/>
  </si>
  <si>
    <t>支援</t>
    <rPh sb="0" eb="2">
      <t>シエン</t>
    </rPh>
    <phoneticPr fontId="2"/>
  </si>
  <si>
    <t>介護</t>
    <rPh sb="0" eb="2">
      <t>カイゴ</t>
    </rPh>
    <phoneticPr fontId="2"/>
  </si>
  <si>
    <t>均等割額</t>
    <rPh sb="0" eb="3">
      <t>キントウワリ</t>
    </rPh>
    <rPh sb="3" eb="4">
      <t>ガク</t>
    </rPh>
    <phoneticPr fontId="2"/>
  </si>
  <si>
    <t>資産割率</t>
    <rPh sb="0" eb="2">
      <t>シサン</t>
    </rPh>
    <rPh sb="2" eb="3">
      <t>ワリ</t>
    </rPh>
    <rPh sb="3" eb="4">
      <t>リツ</t>
    </rPh>
    <phoneticPr fontId="2"/>
  </si>
  <si>
    <t>平等割</t>
    <rPh sb="0" eb="2">
      <t>ビョウドウ</t>
    </rPh>
    <rPh sb="2" eb="3">
      <t>ワリ</t>
    </rPh>
    <phoneticPr fontId="2"/>
  </si>
  <si>
    <t>②均等割額</t>
    <rPh sb="1" eb="4">
      <t>キントウワリ</t>
    </rPh>
    <rPh sb="4" eb="5">
      <t>ガク</t>
    </rPh>
    <phoneticPr fontId="2"/>
  </si>
  <si>
    <r>
      <t>③算出合計額</t>
    </r>
    <r>
      <rPr>
        <sz val="10"/>
        <color theme="1"/>
        <rFont val="HG丸ｺﾞｼｯｸM-PRO"/>
        <family val="3"/>
        <charset val="128"/>
      </rPr>
      <t>（①＋②）</t>
    </r>
    <rPh sb="1" eb="3">
      <t>サンシュツ</t>
    </rPh>
    <rPh sb="3" eb="5">
      <t>ゴウケイ</t>
    </rPh>
    <rPh sb="5" eb="6">
      <t>ガク</t>
    </rPh>
    <phoneticPr fontId="2"/>
  </si>
  <si>
    <t>④限度超過額</t>
    <rPh sb="1" eb="3">
      <t>ゲンド</t>
    </rPh>
    <rPh sb="3" eb="5">
      <t>チョウカ</t>
    </rPh>
    <rPh sb="5" eb="6">
      <t>ガク</t>
    </rPh>
    <phoneticPr fontId="2"/>
  </si>
  <si>
    <t>合計所得</t>
    <rPh sb="0" eb="2">
      <t>ゴウケイ</t>
    </rPh>
    <rPh sb="2" eb="4">
      <t>ショトク</t>
    </rPh>
    <phoneticPr fontId="2"/>
  </si>
  <si>
    <t>給与所得</t>
    <rPh sb="0" eb="2">
      <t>キュウヨ</t>
    </rPh>
    <rPh sb="2" eb="4">
      <t>ショトク</t>
    </rPh>
    <phoneticPr fontId="2"/>
  </si>
  <si>
    <t>年金所得</t>
    <rPh sb="0" eb="2">
      <t>ネンキン</t>
    </rPh>
    <rPh sb="2" eb="4">
      <t>ショトク</t>
    </rPh>
    <phoneticPr fontId="2"/>
  </si>
  <si>
    <t>２．加入者の年齢区分を選択し、各収入金額・所得金額を入力してください。</t>
    <rPh sb="2" eb="4">
      <t>カニュウ</t>
    </rPh>
    <rPh sb="4" eb="5">
      <t>シャ</t>
    </rPh>
    <rPh sb="6" eb="8">
      <t>ネンレイ</t>
    </rPh>
    <rPh sb="8" eb="10">
      <t>クブン</t>
    </rPh>
    <rPh sb="11" eb="13">
      <t>センタク</t>
    </rPh>
    <rPh sb="15" eb="16">
      <t>カク</t>
    </rPh>
    <rPh sb="16" eb="18">
      <t>シュウニュウ</t>
    </rPh>
    <rPh sb="18" eb="19">
      <t>キン</t>
    </rPh>
    <rPh sb="19" eb="20">
      <t>ガク</t>
    </rPh>
    <rPh sb="21" eb="23">
      <t>ショトク</t>
    </rPh>
    <rPh sb="23" eb="25">
      <t>キンガク</t>
    </rPh>
    <rPh sb="25" eb="26">
      <t>ゼイガク</t>
    </rPh>
    <rPh sb="26" eb="28">
      <t>ニュウリョク</t>
    </rPh>
    <phoneticPr fontId="2"/>
  </si>
  <si>
    <t>※合計所得による判断なし</t>
    <rPh sb="1" eb="3">
      <t>ゴウケイ</t>
    </rPh>
    <rPh sb="3" eb="5">
      <t>ショトク</t>
    </rPh>
    <rPh sb="8" eb="10">
      <t>ハンダン</t>
    </rPh>
    <phoneticPr fontId="2"/>
  </si>
  <si>
    <t>給与所得者等</t>
    <rPh sb="0" eb="2">
      <t>キュウヨ</t>
    </rPh>
    <rPh sb="2" eb="4">
      <t>ショトク</t>
    </rPh>
    <rPh sb="4" eb="5">
      <t>シャ</t>
    </rPh>
    <rPh sb="5" eb="6">
      <t>トウ</t>
    </rPh>
    <phoneticPr fontId="2"/>
  </si>
  <si>
    <t>給与</t>
    <rPh sb="0" eb="2">
      <t>キュウヨ</t>
    </rPh>
    <phoneticPr fontId="2"/>
  </si>
  <si>
    <t>年金</t>
    <rPh sb="0" eb="2">
      <t>ネンキン</t>
    </rPh>
    <phoneticPr fontId="2"/>
  </si>
  <si>
    <t>基礎控除</t>
    <rPh sb="0" eb="2">
      <t>キソ</t>
    </rPh>
    <rPh sb="2" eb="4">
      <t>コウジョ</t>
    </rPh>
    <phoneticPr fontId="2"/>
  </si>
  <si>
    <t>所得者</t>
    <rPh sb="0" eb="2">
      <t>ショトク</t>
    </rPh>
    <rPh sb="2" eb="3">
      <t>シャ</t>
    </rPh>
    <phoneticPr fontId="2"/>
  </si>
  <si>
    <t>軽判人数</t>
    <rPh sb="0" eb="1">
      <t>ケイ</t>
    </rPh>
    <rPh sb="1" eb="2">
      <t>ハン</t>
    </rPh>
    <rPh sb="2" eb="4">
      <t>ニンズウ</t>
    </rPh>
    <phoneticPr fontId="2"/>
  </si>
  <si>
    <t>国民健康保険税内訳</t>
    <rPh sb="0" eb="2">
      <t>コクミン</t>
    </rPh>
    <rPh sb="2" eb="4">
      <t>ケンコウ</t>
    </rPh>
    <rPh sb="4" eb="6">
      <t>ホケン</t>
    </rPh>
    <rPh sb="6" eb="7">
      <t>ゼイ</t>
    </rPh>
    <rPh sb="7" eb="9">
      <t>ウチワケ</t>
    </rPh>
    <phoneticPr fontId="2"/>
  </si>
  <si>
    <r>
      <t>⑤決定保険税額</t>
    </r>
    <r>
      <rPr>
        <sz val="12"/>
        <color theme="1"/>
        <rFont val="HG丸ｺﾞｼｯｸM-PRO"/>
        <family val="3"/>
        <charset val="128"/>
      </rPr>
      <t>（③－④）</t>
    </r>
    <rPh sb="1" eb="3">
      <t>ケッテイ</t>
    </rPh>
    <rPh sb="3" eb="5">
      <t>ホケン</t>
    </rPh>
    <rPh sb="5" eb="7">
      <t>ゼイガク</t>
    </rPh>
    <rPh sb="6" eb="7">
      <t>ガク</t>
    </rPh>
    <phoneticPr fontId="2"/>
  </si>
  <si>
    <r>
      <t>⑥月割保険税</t>
    </r>
    <r>
      <rPr>
        <sz val="12"/>
        <color theme="1"/>
        <rFont val="HG丸ｺﾞｼｯｸM-PRO"/>
        <family val="3"/>
        <charset val="128"/>
      </rPr>
      <t>（⑤×月数÷12）</t>
    </r>
    <rPh sb="1" eb="3">
      <t>ツキワリ</t>
    </rPh>
    <rPh sb="3" eb="5">
      <t>ホケン</t>
    </rPh>
    <rPh sb="5" eb="6">
      <t>ゼイ</t>
    </rPh>
    <rPh sb="9" eb="11">
      <t>ツキスウ</t>
    </rPh>
    <phoneticPr fontId="2"/>
  </si>
  <si>
    <t>所得金額調整控除</t>
    <rPh sb="0" eb="2">
      <t>ショトク</t>
    </rPh>
    <rPh sb="2" eb="4">
      <t>キンガク</t>
    </rPh>
    <rPh sb="4" eb="6">
      <t>チョウセイ</t>
    </rPh>
    <rPh sb="6" eb="8">
      <t>コウジョ</t>
    </rPh>
    <phoneticPr fontId="2"/>
  </si>
  <si>
    <t>給与</t>
    <rPh sb="0" eb="2">
      <t>キュウヨ</t>
    </rPh>
    <phoneticPr fontId="2"/>
  </si>
  <si>
    <t>給与30%</t>
    <rPh sb="0" eb="2">
      <t>キュウヨ</t>
    </rPh>
    <phoneticPr fontId="2"/>
  </si>
  <si>
    <t>※非自発は30%表示</t>
    <rPh sb="1" eb="2">
      <t>ヒ</t>
    </rPh>
    <rPh sb="2" eb="4">
      <t>ジハツ</t>
    </rPh>
    <rPh sb="8" eb="10">
      <t>ヒョウジ</t>
    </rPh>
    <phoneticPr fontId="2"/>
  </si>
  <si>
    <t>軽減判定所得</t>
    <rPh sb="0" eb="2">
      <t>ケイゲン</t>
    </rPh>
    <rPh sb="2" eb="4">
      <t>ハンテイ</t>
    </rPh>
    <rPh sb="4" eb="6">
      <t>ショトク</t>
    </rPh>
    <phoneticPr fontId="2"/>
  </si>
  <si>
    <t>軽判所得</t>
    <rPh sb="0" eb="1">
      <t>ケイ</t>
    </rPh>
    <rPh sb="1" eb="2">
      <t>ハン</t>
    </rPh>
    <rPh sb="2" eb="4">
      <t>ショトク</t>
    </rPh>
    <phoneticPr fontId="2"/>
  </si>
  <si>
    <t>軽減</t>
    <rPh sb="0" eb="2">
      <t>ケイゲン</t>
    </rPh>
    <phoneticPr fontId="2"/>
  </si>
  <si>
    <t>基準額</t>
    <rPh sb="0" eb="2">
      <t>キジュン</t>
    </rPh>
    <rPh sb="2" eb="3">
      <t>ガク</t>
    </rPh>
    <phoneticPr fontId="2"/>
  </si>
  <si>
    <t>0歳～6歳</t>
    <rPh sb="1" eb="2">
      <t>サイ</t>
    </rPh>
    <rPh sb="4" eb="5">
      <t>サイ</t>
    </rPh>
    <phoneticPr fontId="2"/>
  </si>
  <si>
    <t>年度</t>
    <rPh sb="0" eb="2">
      <t>ネンド</t>
    </rPh>
    <phoneticPr fontId="2"/>
  </si>
  <si>
    <t>令和8</t>
    <rPh sb="0" eb="2">
      <t>レイワ</t>
    </rPh>
    <phoneticPr fontId="2"/>
  </si>
  <si>
    <t>子ども</t>
    <rPh sb="0" eb="1">
      <t>コ</t>
    </rPh>
    <phoneticPr fontId="2"/>
  </si>
  <si>
    <t>均等割額</t>
    <rPh sb="0" eb="4">
      <t>キントウワリガク</t>
    </rPh>
    <phoneticPr fontId="2"/>
  </si>
  <si>
    <t>所得割率</t>
    <rPh sb="0" eb="3">
      <t>ショトクワリ</t>
    </rPh>
    <rPh sb="3" eb="4">
      <t>リツ</t>
    </rPh>
    <phoneticPr fontId="2"/>
  </si>
  <si>
    <t>資産割率</t>
    <rPh sb="0" eb="2">
      <t>シサン</t>
    </rPh>
    <rPh sb="2" eb="4">
      <t>ワリリツ</t>
    </rPh>
    <phoneticPr fontId="2"/>
  </si>
  <si>
    <t>平等割率</t>
    <rPh sb="0" eb="4">
      <t>ビョウドウワリリツ</t>
    </rPh>
    <phoneticPr fontId="2"/>
  </si>
  <si>
    <t>18歳以上均等割額</t>
    <rPh sb="2" eb="3">
      <t>サイ</t>
    </rPh>
    <rPh sb="3" eb="5">
      <t>イジョウ</t>
    </rPh>
    <rPh sb="5" eb="9">
      <t>キントウワリガク</t>
    </rPh>
    <phoneticPr fontId="2"/>
  </si>
  <si>
    <t>限度超過額</t>
    <rPh sb="0" eb="5">
      <t>ゲンドチョウカガク</t>
    </rPh>
    <phoneticPr fontId="2"/>
  </si>
  <si>
    <t>子ども所得割</t>
    <rPh sb="0" eb="1">
      <t>コ</t>
    </rPh>
    <rPh sb="3" eb="6">
      <t>ショトクワリ</t>
    </rPh>
    <phoneticPr fontId="2"/>
  </si>
  <si>
    <t>子ども均等割</t>
    <rPh sb="0" eb="1">
      <t>コ</t>
    </rPh>
    <rPh sb="3" eb="6">
      <t>キントウワリ</t>
    </rPh>
    <phoneticPr fontId="2"/>
  </si>
  <si>
    <t>子ども資産割</t>
    <rPh sb="0" eb="1">
      <t>コ</t>
    </rPh>
    <rPh sb="3" eb="6">
      <t>シサンワリ</t>
    </rPh>
    <phoneticPr fontId="2"/>
  </si>
  <si>
    <t>子ども平等割</t>
    <rPh sb="0" eb="1">
      <t>コ</t>
    </rPh>
    <rPh sb="3" eb="6">
      <t>ビョウドウワリ</t>
    </rPh>
    <phoneticPr fontId="2"/>
  </si>
  <si>
    <t>子ども分</t>
    <rPh sb="0" eb="1">
      <t>コ</t>
    </rPh>
    <rPh sb="3" eb="4">
      <t>ブン</t>
    </rPh>
    <phoneticPr fontId="2"/>
  </si>
  <si>
    <t>限度額</t>
  </si>
  <si>
    <t>介護分</t>
  </si>
  <si>
    <t>介護分</t>
    <phoneticPr fontId="2"/>
  </si>
  <si>
    <t>医療分</t>
  </si>
  <si>
    <t>支援金分</t>
  </si>
  <si>
    <t>子ども分</t>
  </si>
  <si>
    <t>所得割率</t>
    <rPh sb="3" eb="4">
      <t>リツ</t>
    </rPh>
    <phoneticPr fontId="2"/>
  </si>
  <si>
    <t>均等割額</t>
    <phoneticPr fontId="2"/>
  </si>
  <si>
    <t>課税標準額</t>
    <rPh sb="0" eb="5">
      <t>カゼイヒョウジュンガク</t>
    </rPh>
    <phoneticPr fontId="2"/>
  </si>
  <si>
    <t>支援金分</t>
    <rPh sb="0" eb="2">
      <t>シエン</t>
    </rPh>
    <rPh sb="2" eb="3">
      <t>キン</t>
    </rPh>
    <rPh sb="3" eb="4">
      <t>ブン</t>
    </rPh>
    <phoneticPr fontId="2"/>
  </si>
  <si>
    <t>43,300円</t>
    <rPh sb="6" eb="7">
      <t>エン</t>
    </rPh>
    <phoneticPr fontId="2"/>
  </si>
  <si>
    <t>14,900円</t>
  </si>
  <si>
    <t>16,100円</t>
  </si>
  <si>
    <t xml:space="preserve">1,700円 </t>
  </si>
  <si>
    <t>◆令和8年度分の国民健康保険税（年税額）</t>
    <phoneticPr fontId="2"/>
  </si>
  <si>
    <t>世帯主</t>
    <phoneticPr fontId="2"/>
  </si>
  <si>
    <t>加入者Ａ</t>
    <phoneticPr fontId="2"/>
  </si>
  <si>
    <t>加入者Ｂ</t>
    <phoneticPr fontId="2"/>
  </si>
  <si>
    <t>加入者Ｃ</t>
    <phoneticPr fontId="2"/>
  </si>
  <si>
    <t>加入者Ｄ</t>
    <phoneticPr fontId="2"/>
  </si>
  <si>
    <t>加入者Ｅ</t>
    <phoneticPr fontId="2"/>
  </si>
  <si>
    <t>加入者Ｆ</t>
    <phoneticPr fontId="2"/>
  </si>
  <si>
    <t>加入者Ｇ</t>
    <phoneticPr fontId="2"/>
  </si>
  <si>
    <t>加入する人</t>
    <phoneticPr fontId="2"/>
  </si>
  <si>
    <t>令和８年度税率</t>
    <rPh sb="0" eb="2">
      <t>レイワ</t>
    </rPh>
    <rPh sb="3" eb="4">
      <t>ネン</t>
    </rPh>
    <rPh sb="4" eb="5">
      <t>ド</t>
    </rPh>
    <rPh sb="5" eb="7">
      <t>ゼイリツ</t>
    </rPh>
    <phoneticPr fontId="2"/>
  </si>
  <si>
    <t>賦課限度額</t>
    <rPh sb="0" eb="2">
      <t>フカ</t>
    </rPh>
    <rPh sb="2" eb="4">
      <t>ゲンド</t>
    </rPh>
    <rPh sb="4" eb="5">
      <t>ガク</t>
    </rPh>
    <phoneticPr fontId="2"/>
  </si>
  <si>
    <t>670,000円</t>
    <rPh sb="7" eb="8">
      <t>エン</t>
    </rPh>
    <phoneticPr fontId="2"/>
  </si>
  <si>
    <t>260,000円</t>
    <rPh sb="7" eb="8">
      <t>エン</t>
    </rPh>
    <phoneticPr fontId="2"/>
  </si>
  <si>
    <t>170,000円</t>
    <rPh sb="7" eb="8">
      <t>エン</t>
    </rPh>
    <phoneticPr fontId="2"/>
  </si>
  <si>
    <t>30,000円</t>
    <rPh sb="6" eb="7">
      <t>エン</t>
    </rPh>
    <phoneticPr fontId="2"/>
  </si>
  <si>
    <t>★令和8年度　さいたま市国民健康保険税の試算表★</t>
    <rPh sb="1" eb="3">
      <t>レイワ</t>
    </rPh>
    <rPh sb="4" eb="5">
      <t>ネン</t>
    </rPh>
    <rPh sb="5" eb="6">
      <t>ド</t>
    </rPh>
    <rPh sb="11" eb="12">
      <t>シ</t>
    </rPh>
    <rPh sb="12" eb="14">
      <t>コクミン</t>
    </rPh>
    <rPh sb="14" eb="16">
      <t>ケンコウ</t>
    </rPh>
    <rPh sb="16" eb="18">
      <t>ホケン</t>
    </rPh>
    <rPh sb="18" eb="19">
      <t>ゼイ</t>
    </rPh>
    <rPh sb="20" eb="22">
      <t>シサン</t>
    </rPh>
    <rPh sb="22" eb="23">
      <t>ヒョウ</t>
    </rPh>
    <phoneticPr fontId="2"/>
  </si>
  <si>
    <t>◆適用される軽減率</t>
    <rPh sb="1" eb="3">
      <t>テキヨウ</t>
    </rPh>
    <rPh sb="6" eb="8">
      <t>ケイゲン</t>
    </rPh>
    <rPh sb="8" eb="9">
      <t>リツ</t>
    </rPh>
    <phoneticPr fontId="2"/>
  </si>
  <si>
    <t>給与収入
(支払金額）</t>
    <rPh sb="0" eb="2">
      <t>キュウヨ</t>
    </rPh>
    <rPh sb="2" eb="4">
      <t>シュウニュウ</t>
    </rPh>
    <rPh sb="6" eb="8">
      <t>シハライ</t>
    </rPh>
    <rPh sb="8" eb="10">
      <t>キンガク</t>
    </rPh>
    <phoneticPr fontId="2"/>
  </si>
  <si>
    <t>年金収入
(支給額)</t>
    <rPh sb="0" eb="2">
      <t>ネンキン</t>
    </rPh>
    <rPh sb="2" eb="4">
      <t>シュウニュウ</t>
    </rPh>
    <rPh sb="6" eb="9">
      <t>シキュウガク</t>
    </rPh>
    <phoneticPr fontId="2"/>
  </si>
  <si>
    <t>世帯主が国保加入者でない場合選択
※5</t>
    <rPh sb="0" eb="3">
      <t>セタイヌシ</t>
    </rPh>
    <rPh sb="4" eb="6">
      <t>コクホ</t>
    </rPh>
    <rPh sb="6" eb="9">
      <t>カニュウシャ</t>
    </rPh>
    <rPh sb="12" eb="14">
      <t>バアイ</t>
    </rPh>
    <rPh sb="14" eb="16">
      <t>センタク</t>
    </rPh>
    <phoneticPr fontId="2"/>
  </si>
  <si>
    <r>
      <t xml:space="preserve">その他の所得
</t>
    </r>
    <r>
      <rPr>
        <sz val="11"/>
        <color theme="1"/>
        <rFont val="HG丸ｺﾞｼｯｸM-PRO"/>
        <family val="3"/>
        <charset val="128"/>
      </rPr>
      <t>(雑所得、営業所得、譲渡一時所得等）※3</t>
    </r>
    <rPh sb="2" eb="3">
      <t>タ</t>
    </rPh>
    <rPh sb="4" eb="6">
      <t>ショトク</t>
    </rPh>
    <rPh sb="8" eb="11">
      <t>ザッショトク</t>
    </rPh>
    <rPh sb="12" eb="14">
      <t>エイギョウ</t>
    </rPh>
    <rPh sb="14" eb="16">
      <t>ショトク</t>
    </rPh>
    <rPh sb="17" eb="19">
      <t>ジョウト</t>
    </rPh>
    <rPh sb="19" eb="21">
      <t>イチジ</t>
    </rPh>
    <rPh sb="21" eb="24">
      <t>ショトクナド</t>
    </rPh>
    <phoneticPr fontId="2"/>
  </si>
  <si>
    <t>倒産・解雇・雇い止めによる離職
※4</t>
    <rPh sb="0" eb="2">
      <t>トウサン</t>
    </rPh>
    <rPh sb="3" eb="5">
      <t>カイコ</t>
    </rPh>
    <rPh sb="6" eb="7">
      <t>ヤト</t>
    </rPh>
    <rPh sb="8" eb="9">
      <t>ド</t>
    </rPh>
    <rPh sb="13" eb="15">
      <t>リショク</t>
    </rPh>
    <phoneticPr fontId="2"/>
  </si>
  <si>
    <t>◆令和８年度分の国民健康保険税（年税額）</t>
    <phoneticPr fontId="2"/>
  </si>
  <si>
    <t>　</t>
  </si>
  <si>
    <r>
      <t xml:space="preserve">年齢
</t>
    </r>
    <r>
      <rPr>
        <sz val="11"/>
        <color theme="1"/>
        <rFont val="HG丸ｺﾞｼｯｸM-PRO"/>
        <family val="3"/>
        <charset val="128"/>
      </rPr>
      <t>※２</t>
    </r>
    <rPh sb="0" eb="2">
      <t>ネンレイ</t>
    </rPh>
    <phoneticPr fontId="2"/>
  </si>
  <si>
    <t>75歳以上(後期高齢者医療制度に加入中）</t>
    <phoneticPr fontId="2"/>
  </si>
  <si>
    <t>7歳～17歳</t>
    <rPh sb="1" eb="2">
      <t>サイ</t>
    </rPh>
    <rPh sb="5" eb="6">
      <t>サイ</t>
    </rPh>
    <phoneticPr fontId="2"/>
  </si>
  <si>
    <t>18歳～39歳</t>
    <rPh sb="2" eb="3">
      <t>サイ</t>
    </rPh>
    <rPh sb="6" eb="7">
      <t>サイ</t>
    </rPh>
    <phoneticPr fontId="2"/>
  </si>
  <si>
    <t>1か月</t>
    <rPh sb="2" eb="3">
      <t>ゲツ</t>
    </rPh>
    <phoneticPr fontId="2"/>
  </si>
  <si>
    <t>2か月</t>
    <rPh sb="2" eb="3">
      <t>ゲツ</t>
    </rPh>
    <phoneticPr fontId="2"/>
  </si>
  <si>
    <t>3か月</t>
    <rPh sb="2" eb="3">
      <t>ゲツ</t>
    </rPh>
    <phoneticPr fontId="2"/>
  </si>
  <si>
    <t>4か月</t>
    <rPh sb="2" eb="3">
      <t>ゲツ</t>
    </rPh>
    <phoneticPr fontId="2"/>
  </si>
  <si>
    <t>5か月</t>
    <rPh sb="2" eb="3">
      <t>ゲツ</t>
    </rPh>
    <phoneticPr fontId="2"/>
  </si>
  <si>
    <t>6か月</t>
    <rPh sb="2" eb="3">
      <t>ゲツ</t>
    </rPh>
    <phoneticPr fontId="2"/>
  </si>
  <si>
    <t>7か月</t>
    <rPh sb="2" eb="3">
      <t>ゲツ</t>
    </rPh>
    <phoneticPr fontId="2"/>
  </si>
  <si>
    <t>8か月</t>
    <rPh sb="2" eb="3">
      <t>ゲツ</t>
    </rPh>
    <phoneticPr fontId="2"/>
  </si>
  <si>
    <t>9か月</t>
    <rPh sb="2" eb="3">
      <t>ゲツ</t>
    </rPh>
    <phoneticPr fontId="2"/>
  </si>
  <si>
    <t>10か月</t>
    <rPh sb="3" eb="4">
      <t>ゲツ</t>
    </rPh>
    <phoneticPr fontId="2"/>
  </si>
  <si>
    <t>11か月</t>
    <rPh sb="3" eb="4">
      <t>ゲツ</t>
    </rPh>
    <phoneticPr fontId="2"/>
  </si>
  <si>
    <t>12か月</t>
    <rPh sb="3" eb="4">
      <t>ゲツ</t>
    </rPh>
    <phoneticPr fontId="2"/>
  </si>
  <si>
    <t>参考（１か月あたり）</t>
    <rPh sb="0" eb="2">
      <t>サンコウ</t>
    </rPh>
    <rPh sb="5" eb="6">
      <t>ガツ</t>
    </rPh>
    <phoneticPr fontId="2"/>
  </si>
  <si>
    <r>
      <t xml:space="preserve">
・試算結果は実際の決定税額ではありません。あくまでも参考としてご利用ください。
・前年中の所得の合計額が一定の基準以下の場合は均等割額が軽減されますが、課税対象者全員の所得が判明している必要があります。
　本計算表では全員の申告があったものとして計算しております。
・黒い太枠の該当部分を選択または入力してください。
</t>
    </r>
    <r>
      <rPr>
        <sz val="10"/>
        <rFont val="HG丸ｺﾞｼｯｸM-PRO"/>
        <family val="3"/>
        <charset val="128"/>
      </rPr>
      <t xml:space="preserve">・昭和36年1月2日以降生まれで、年金収入（障害年金・遺族年金を除く）がある方は、本エクセルにて正しく計算できない場合があります。
・子ども・子育て支援納付金分は、18歳未満（18歳に達する日以後の最初の3月31日以前である被保険者）でも所得が一定程度ある場合は所得割が課税されますが、均等割は課税されません。
・年度途中に40歳を迎える方は介護支援金分が月割りにて発生し、65歳を迎える方は別途請求がされるようになりますので、本エクセルにて正しく計算されません。
・年度途中に75歳を迎える方は誕生月分より後期高齢者医療制度へ移行しますので、本エクセルにて正しく計算されません。
</t>
    </r>
    <rPh sb="135" eb="136">
      <t>クロ</t>
    </rPh>
    <rPh sb="137" eb="139">
      <t>フトワク</t>
    </rPh>
    <rPh sb="227" eb="228">
      <t>コ</t>
    </rPh>
    <rPh sb="231" eb="233">
      <t>コソダ</t>
    </rPh>
    <rPh sb="234" eb="240">
      <t>シエンノウフキンブン</t>
    </rPh>
    <rPh sb="244" eb="245">
      <t>サイ</t>
    </rPh>
    <rPh sb="245" eb="247">
      <t>ミマン</t>
    </rPh>
    <rPh sb="250" eb="251">
      <t>サイ</t>
    </rPh>
    <rPh sb="252" eb="253">
      <t>タッ</t>
    </rPh>
    <rPh sb="255" eb="256">
      <t>ヒ</t>
    </rPh>
    <rPh sb="256" eb="258">
      <t>イゴ</t>
    </rPh>
    <rPh sb="259" eb="261">
      <t>サイショ</t>
    </rPh>
    <rPh sb="263" eb="264">
      <t>ガツ</t>
    </rPh>
    <rPh sb="266" eb="267">
      <t>ニチ</t>
    </rPh>
    <rPh sb="267" eb="269">
      <t>イゼン</t>
    </rPh>
    <rPh sb="272" eb="276">
      <t>ヒホケンシャ</t>
    </rPh>
    <rPh sb="279" eb="281">
      <t>ショトク</t>
    </rPh>
    <rPh sb="282" eb="284">
      <t>イッテイ</t>
    </rPh>
    <rPh sb="284" eb="286">
      <t>テイド</t>
    </rPh>
    <rPh sb="288" eb="290">
      <t>バアイ</t>
    </rPh>
    <rPh sb="291" eb="293">
      <t>ショトク</t>
    </rPh>
    <rPh sb="293" eb="294">
      <t>ワリ</t>
    </rPh>
    <rPh sb="295" eb="297">
      <t>カゼイ</t>
    </rPh>
    <rPh sb="303" eb="306">
      <t>キントウワ</t>
    </rPh>
    <rPh sb="307" eb="309">
      <t>カゼイ</t>
    </rPh>
    <phoneticPr fontId="2"/>
  </si>
  <si>
    <t>毎年変更箇所</t>
    <rPh sb="0" eb="2">
      <t>マイトシ</t>
    </rPh>
    <rPh sb="2" eb="4">
      <t>ヘンコウ</t>
    </rPh>
    <rPh sb="4" eb="6">
      <t>カショ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</si>
</sst>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円&quot;"/>
  </numFmts>
  <fonts count="18" x14ac:knownFonts="1">
    <font>
      <sz val="11"/>
      <color theme="1"/>
      <name val="ＭＳ Ｐゴシック"/>
      <family val="2"/>
      <charset val="128"/>
      <scheme val="minor"/>
    </font>
    <font>
      <sz val="14"/>
      <color theme="1"/>
      <name val="HG丸ｺﾞｼｯｸM-PRO"/>
      <family val="3"/>
      <charset val="128"/>
    </font>
    <font>
      <sz val="6"/>
      <name val="ＭＳ Ｐゴシック"/>
      <family val="2"/>
      <charset val="128"/>
      <scheme val="minor"/>
    </font>
    <font>
      <sz val="10"/>
      <color theme="1"/>
      <name val="HG丸ｺﾞｼｯｸM-PRO"/>
      <family val="3"/>
      <charset val="128"/>
    </font>
    <font>
      <sz val="9"/>
      <color theme="1"/>
      <name val="HG丸ｺﾞｼｯｸM-PRO"/>
      <family val="3"/>
      <charset val="128"/>
    </font>
    <font>
      <sz val="6"/>
      <color theme="1"/>
      <name val="HG丸ｺﾞｼｯｸM-PRO"/>
      <family val="3"/>
      <charset val="128"/>
    </font>
    <font>
      <sz val="13"/>
      <color theme="1"/>
      <name val="HG丸ｺﾞｼｯｸM-PRO"/>
      <family val="3"/>
      <charset val="128"/>
    </font>
    <font>
      <sz val="12"/>
      <color theme="1"/>
      <name val="HG丸ｺﾞｼｯｸM-PRO"/>
      <family val="3"/>
      <charset val="128"/>
    </font>
    <font>
      <sz val="11"/>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rgb="FFDDEBF7"/>
      <name val="HG丸ｺﾞｼｯｸM-PRO"/>
      <family val="3"/>
      <charset val="128"/>
    </font>
    <font>
      <sz val="9"/>
      <name val="HG丸ｺﾞｼｯｸM-PRO"/>
      <family val="3"/>
      <charset val="128"/>
    </font>
    <font>
      <sz val="6"/>
      <name val="HG丸ｺﾞｼｯｸM-PRO"/>
      <family val="3"/>
      <charset val="128"/>
    </font>
    <font>
      <b/>
      <u/>
      <sz val="10"/>
      <color theme="1"/>
      <name val="HG丸ｺﾞｼｯｸM-PRO"/>
      <family val="3"/>
      <charset val="128"/>
    </font>
    <font>
      <sz val="20"/>
      <color theme="1"/>
      <name val="HG丸ｺﾞｼｯｸM-PRO"/>
      <family val="3"/>
      <charset val="128"/>
    </font>
    <font>
      <b/>
      <sz val="20"/>
      <name val="HG丸ｺﾞｼｯｸM-PRO"/>
      <family val="3"/>
      <charset val="128"/>
    </font>
    <font>
      <sz val="10"/>
      <name val="HG丸ｺﾞｼｯｸM-PRO"/>
      <family val="3"/>
      <charset val="128"/>
    </font>
  </fonts>
  <fills count="11">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
      <patternFill patternType="solid">
        <fgColor rgb="FFDDEBF7"/>
        <bgColor indexed="64"/>
      </patternFill>
    </fill>
    <fill>
      <patternFill patternType="solid">
        <fgColor theme="7" tint="0.59999389629810485"/>
        <bgColor indexed="64"/>
      </patternFill>
    </fill>
    <fill>
      <patternFill patternType="solid">
        <fgColor rgb="FFFFC00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1" tint="0.499984740745262"/>
        <bgColor indexed="64"/>
      </patternFill>
    </fill>
    <fill>
      <patternFill patternType="solid">
        <fgColor rgb="FFFFFF00"/>
        <bgColor indexed="64"/>
      </patternFill>
    </fill>
  </fills>
  <borders count="4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rgb="FFC00000"/>
      </left>
      <right style="thin">
        <color rgb="FFC00000"/>
      </right>
      <top style="thin">
        <color rgb="FFC00000"/>
      </top>
      <bottom/>
      <diagonal/>
    </border>
    <border>
      <left style="thin">
        <color rgb="FFC00000"/>
      </left>
      <right style="thin">
        <color rgb="FFC00000"/>
      </right>
      <top/>
      <bottom/>
      <diagonal/>
    </border>
    <border>
      <left style="thin">
        <color rgb="FFC00000"/>
      </left>
      <right style="thin">
        <color rgb="FFC00000"/>
      </right>
      <top/>
      <bottom style="thin">
        <color rgb="FFC00000"/>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rgb="FFFF0000"/>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top/>
      <bottom style="thin">
        <color indexed="64"/>
      </bottom>
      <diagonal/>
    </border>
    <border>
      <left/>
      <right/>
      <top style="thick">
        <color rgb="FFFF0000"/>
      </top>
      <bottom/>
      <diagonal/>
    </border>
    <border>
      <left style="thin">
        <color theme="0" tint="-0.24994659260841701"/>
      </left>
      <right style="thin">
        <color theme="0" tint="-0.24994659260841701"/>
      </right>
      <top style="thin">
        <color theme="0" tint="-0.24994659260841701"/>
      </top>
      <bottom/>
      <diagonal/>
    </border>
    <border>
      <left style="thick">
        <color theme="1"/>
      </left>
      <right style="thin">
        <color theme="0" tint="-0.24994659260841701"/>
      </right>
      <top style="thick">
        <color theme="1"/>
      </top>
      <bottom style="thin">
        <color theme="0" tint="-0.24994659260841701"/>
      </bottom>
      <diagonal/>
    </border>
    <border>
      <left style="thin">
        <color theme="0" tint="-0.24994659260841701"/>
      </left>
      <right style="thin">
        <color theme="0" tint="-0.24994659260841701"/>
      </right>
      <top style="thick">
        <color theme="1"/>
      </top>
      <bottom style="thin">
        <color theme="0" tint="-0.24994659260841701"/>
      </bottom>
      <diagonal/>
    </border>
    <border>
      <left style="thin">
        <color theme="0" tint="-0.24994659260841701"/>
      </left>
      <right/>
      <top style="thick">
        <color theme="1"/>
      </top>
      <bottom style="thin">
        <color theme="0" tint="-0.24994659260841701"/>
      </bottom>
      <diagonal/>
    </border>
    <border>
      <left style="thick">
        <color theme="1"/>
      </left>
      <right/>
      <top style="thin">
        <color theme="0" tint="-0.24994659260841701"/>
      </top>
      <bottom style="thin">
        <color theme="0" tint="-0.24994659260841701"/>
      </bottom>
      <diagonal/>
    </border>
    <border>
      <left/>
      <right style="thick">
        <color theme="1"/>
      </right>
      <top style="thin">
        <color theme="0" tint="-0.24994659260841701"/>
      </top>
      <bottom style="thin">
        <color theme="0" tint="-0.24994659260841701"/>
      </bottom>
      <diagonal/>
    </border>
    <border>
      <left style="thick">
        <color theme="1"/>
      </left>
      <right/>
      <top style="thin">
        <color theme="0" tint="-0.24994659260841701"/>
      </top>
      <bottom style="thick">
        <color theme="1"/>
      </bottom>
      <diagonal/>
    </border>
    <border>
      <left/>
      <right/>
      <top style="thin">
        <color theme="0" tint="-0.24994659260841701"/>
      </top>
      <bottom style="thick">
        <color theme="1"/>
      </bottom>
      <diagonal/>
    </border>
    <border>
      <left/>
      <right style="thin">
        <color theme="0" tint="-0.24994659260841701"/>
      </right>
      <top style="thin">
        <color theme="0" tint="-0.24994659260841701"/>
      </top>
      <bottom style="thick">
        <color theme="1"/>
      </bottom>
      <diagonal/>
    </border>
    <border>
      <left style="thin">
        <color theme="0" tint="-0.24994659260841701"/>
      </left>
      <right/>
      <top style="thin">
        <color theme="0" tint="-0.24994659260841701"/>
      </top>
      <bottom style="thick">
        <color theme="1"/>
      </bottom>
      <diagonal/>
    </border>
    <border>
      <left style="thin">
        <color theme="0" tint="-0.24994659260841701"/>
      </left>
      <right style="thin">
        <color theme="0" tint="-0.24994659260841701"/>
      </right>
      <top style="thin">
        <color theme="0" tint="-0.24994659260841701"/>
      </top>
      <bottom style="thick">
        <color theme="1"/>
      </bottom>
      <diagonal/>
    </border>
    <border>
      <left/>
      <right style="thick">
        <color theme="1"/>
      </right>
      <top style="thin">
        <color theme="0" tint="-0.24994659260841701"/>
      </top>
      <bottom style="thick">
        <color theme="1"/>
      </bottom>
      <diagonal/>
    </border>
    <border>
      <left/>
      <right style="thick">
        <color theme="1"/>
      </right>
      <top style="thick">
        <color theme="1"/>
      </top>
      <bottom style="thick">
        <color theme="1"/>
      </bottom>
      <diagonal/>
    </border>
    <border>
      <left/>
      <right/>
      <top style="thick">
        <color theme="1"/>
      </top>
      <bottom style="thick">
        <color theme="1"/>
      </bottom>
      <diagonal/>
    </border>
    <border>
      <left/>
      <right style="thin">
        <color theme="0" tint="-0.24994659260841701"/>
      </right>
      <top style="thick">
        <color theme="1"/>
      </top>
      <bottom style="thin">
        <color theme="0" tint="-0.24994659260841701"/>
      </bottom>
      <diagonal/>
    </border>
    <border>
      <left style="thick">
        <color theme="1"/>
      </left>
      <right/>
      <top style="thick">
        <color theme="1"/>
      </top>
      <bottom style="thick">
        <color theme="1"/>
      </bottom>
      <diagonal/>
    </border>
  </borders>
  <cellStyleXfs count="1">
    <xf numFmtId="0" fontId="0" fillId="0" borderId="0">
      <alignment vertical="center"/>
    </xf>
  </cellStyleXfs>
  <cellXfs count="115">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1" fillId="0" borderId="0" xfId="0" applyFont="1" applyAlignment="1">
      <alignment horizontal="center" vertical="center"/>
    </xf>
    <xf numFmtId="0" fontId="7" fillId="0" borderId="0" xfId="0" applyFont="1">
      <alignment vertical="center"/>
    </xf>
    <xf numFmtId="0" fontId="5" fillId="3" borderId="0" xfId="0" applyFont="1" applyFill="1">
      <alignment vertical="center"/>
    </xf>
    <xf numFmtId="0" fontId="1" fillId="0" borderId="6" xfId="0" applyFont="1" applyBorder="1">
      <alignment vertical="center"/>
    </xf>
    <xf numFmtId="0" fontId="7" fillId="0" borderId="0" xfId="0" applyFont="1" applyAlignment="1">
      <alignment horizontal="right" vertical="center"/>
    </xf>
    <xf numFmtId="176" fontId="5" fillId="0" borderId="0" xfId="0" applyNumberFormat="1" applyFont="1">
      <alignment vertical="center"/>
    </xf>
    <xf numFmtId="176" fontId="5" fillId="3" borderId="0" xfId="0" applyNumberFormat="1" applyFont="1" applyFill="1">
      <alignment vertical="center"/>
    </xf>
    <xf numFmtId="176" fontId="1" fillId="0" borderId="0" xfId="0" applyNumberFormat="1" applyFont="1">
      <alignment vertical="center"/>
    </xf>
    <xf numFmtId="0" fontId="8" fillId="0" borderId="0" xfId="0" applyFont="1">
      <alignment vertical="center"/>
    </xf>
    <xf numFmtId="0" fontId="5" fillId="0" borderId="11" xfId="0" applyFont="1" applyBorder="1">
      <alignment vertical="center"/>
    </xf>
    <xf numFmtId="0" fontId="11" fillId="4" borderId="0" xfId="0" applyFont="1" applyFill="1">
      <alignment vertical="center"/>
    </xf>
    <xf numFmtId="0" fontId="4" fillId="4" borderId="0" xfId="0" applyFont="1" applyFill="1">
      <alignment vertical="center"/>
    </xf>
    <xf numFmtId="0" fontId="12" fillId="4" borderId="0" xfId="0" applyFont="1" applyFill="1">
      <alignment vertical="center"/>
    </xf>
    <xf numFmtId="0" fontId="13" fillId="4" borderId="0" xfId="0" applyFont="1" applyFill="1">
      <alignment vertical="center"/>
    </xf>
    <xf numFmtId="0" fontId="9" fillId="0" borderId="0" xfId="0" applyFont="1">
      <alignment vertical="center"/>
    </xf>
    <xf numFmtId="0" fontId="14" fillId="3" borderId="0" xfId="0" applyFont="1" applyFill="1">
      <alignment vertical="center"/>
    </xf>
    <xf numFmtId="0" fontId="4" fillId="0" borderId="7" xfId="0" applyFont="1" applyBorder="1">
      <alignment vertical="center"/>
    </xf>
    <xf numFmtId="0" fontId="4" fillId="0" borderId="8" xfId="0" applyFont="1" applyBorder="1">
      <alignment vertical="center"/>
    </xf>
    <xf numFmtId="0" fontId="4" fillId="0" borderId="6" xfId="0" applyFont="1" applyBorder="1">
      <alignment vertical="center"/>
    </xf>
    <xf numFmtId="0" fontId="7" fillId="0" borderId="0" xfId="0" applyFont="1" applyAlignment="1">
      <alignment vertical="top" wrapText="1"/>
    </xf>
    <xf numFmtId="0" fontId="7" fillId="0" borderId="0" xfId="0" applyFont="1" applyAlignment="1">
      <alignment vertical="top"/>
    </xf>
    <xf numFmtId="0" fontId="1" fillId="6" borderId="1" xfId="0" applyFont="1" applyFill="1" applyBorder="1">
      <alignment vertical="center"/>
    </xf>
    <xf numFmtId="0" fontId="15" fillId="0" borderId="0" xfId="0" applyFont="1">
      <alignment vertical="center"/>
    </xf>
    <xf numFmtId="0" fontId="3" fillId="0" borderId="0" xfId="0" applyFont="1" applyAlignment="1">
      <alignment vertical="center" wrapText="1"/>
    </xf>
    <xf numFmtId="0" fontId="10" fillId="0" borderId="0" xfId="0" applyFont="1">
      <alignment vertical="center"/>
    </xf>
    <xf numFmtId="0" fontId="10" fillId="0" borderId="0" xfId="0" applyFont="1" applyAlignment="1">
      <alignment horizontal="center" vertical="center"/>
    </xf>
    <xf numFmtId="0" fontId="16" fillId="0" borderId="0" xfId="0" applyFont="1">
      <alignment vertical="center"/>
    </xf>
    <xf numFmtId="0" fontId="1" fillId="8" borderId="2" xfId="0" applyFont="1" applyFill="1" applyBorder="1">
      <alignment vertical="center"/>
    </xf>
    <xf numFmtId="0" fontId="8" fillId="0" borderId="0" xfId="0" applyFont="1" applyFill="1" applyBorder="1" applyAlignment="1">
      <alignment vertical="center"/>
    </xf>
    <xf numFmtId="10" fontId="8" fillId="0" borderId="0" xfId="0" applyNumberFormat="1" applyFont="1" applyFill="1" applyBorder="1" applyAlignment="1">
      <alignment vertical="center"/>
    </xf>
    <xf numFmtId="0" fontId="8" fillId="0" borderId="10" xfId="0" applyFont="1" applyFill="1" applyBorder="1" applyAlignment="1">
      <alignment horizontal="center" vertical="center"/>
    </xf>
    <xf numFmtId="0" fontId="1" fillId="0" borderId="10" xfId="0" applyFont="1" applyFill="1" applyBorder="1" applyAlignment="1" applyProtection="1">
      <alignment horizontal="center" vertical="center"/>
      <protection locked="0"/>
    </xf>
    <xf numFmtId="0" fontId="10" fillId="0" borderId="24" xfId="0" applyFont="1" applyBorder="1">
      <alignment vertical="center"/>
    </xf>
    <xf numFmtId="0" fontId="1" fillId="0" borderId="24" xfId="0" applyFont="1" applyBorder="1">
      <alignment vertical="center"/>
    </xf>
    <xf numFmtId="0" fontId="10" fillId="0" borderId="0" xfId="0" applyFont="1" applyAlignment="1">
      <alignment vertical="center"/>
    </xf>
    <xf numFmtId="0" fontId="10" fillId="0" borderId="20" xfId="0" applyFont="1" applyBorder="1" applyAlignment="1">
      <alignment vertical="center"/>
    </xf>
    <xf numFmtId="0" fontId="11" fillId="9" borderId="0" xfId="0" applyFont="1" applyFill="1">
      <alignment vertical="center"/>
    </xf>
    <xf numFmtId="0" fontId="4" fillId="9" borderId="0" xfId="0" applyFont="1" applyFill="1">
      <alignment vertical="center"/>
    </xf>
    <xf numFmtId="0" fontId="5" fillId="9" borderId="0" xfId="0" applyFont="1" applyFill="1">
      <alignment vertical="center"/>
    </xf>
    <xf numFmtId="0" fontId="6" fillId="2" borderId="9" xfId="0" applyFont="1" applyFill="1" applyBorder="1">
      <alignment vertical="center"/>
    </xf>
    <xf numFmtId="0" fontId="1" fillId="0" borderId="0" xfId="0" applyFont="1" applyBorder="1">
      <alignment vertical="center"/>
    </xf>
    <xf numFmtId="0" fontId="5" fillId="10" borderId="0" xfId="0" applyFont="1" applyFill="1">
      <alignment vertical="center"/>
    </xf>
    <xf numFmtId="0" fontId="4" fillId="10" borderId="0" xfId="0" applyFont="1" applyFill="1">
      <alignment vertical="center"/>
    </xf>
    <xf numFmtId="176" fontId="9" fillId="10" borderId="0" xfId="0" applyNumberFormat="1" applyFont="1" applyFill="1">
      <alignment vertical="center"/>
    </xf>
    <xf numFmtId="0" fontId="1" fillId="10" borderId="0" xfId="0" applyFont="1" applyFill="1">
      <alignment vertical="center"/>
    </xf>
    <xf numFmtId="0" fontId="8" fillId="7" borderId="17" xfId="0" applyFont="1" applyFill="1" applyBorder="1" applyAlignment="1">
      <alignment horizontal="center" vertical="center"/>
    </xf>
    <xf numFmtId="0" fontId="8" fillId="7" borderId="18" xfId="0" applyFont="1" applyFill="1" applyBorder="1" applyAlignment="1">
      <alignment horizontal="center" vertical="center"/>
    </xf>
    <xf numFmtId="0" fontId="8" fillId="7" borderId="19" xfId="0" applyFont="1" applyFill="1" applyBorder="1" applyAlignment="1">
      <alignment horizontal="center" vertical="center"/>
    </xf>
    <xf numFmtId="0" fontId="8" fillId="7" borderId="13" xfId="0" applyFont="1" applyFill="1" applyBorder="1" applyAlignment="1">
      <alignment horizontal="center" vertical="center"/>
    </xf>
    <xf numFmtId="0" fontId="7" fillId="5" borderId="30" xfId="0" applyFont="1" applyFill="1" applyBorder="1" applyAlignment="1" applyProtection="1">
      <alignment horizontal="center" vertical="center"/>
      <protection locked="0"/>
    </xf>
    <xf numFmtId="0" fontId="7" fillId="5" borderId="12" xfId="0" applyFont="1" applyFill="1" applyBorder="1" applyAlignment="1" applyProtection="1">
      <alignment horizontal="center" vertical="center"/>
      <protection locked="0"/>
    </xf>
    <xf numFmtId="0" fontId="7" fillId="5" borderId="10" xfId="0" applyFont="1" applyFill="1" applyBorder="1" applyAlignment="1" applyProtection="1">
      <alignment horizontal="center" vertical="center"/>
      <protection locked="0"/>
    </xf>
    <xf numFmtId="0" fontId="1" fillId="6" borderId="26" xfId="0" applyFont="1" applyFill="1" applyBorder="1" applyAlignment="1">
      <alignment horizontal="center" vertical="center" wrapText="1"/>
    </xf>
    <xf numFmtId="0" fontId="1" fillId="6" borderId="26" xfId="0" applyFont="1" applyFill="1" applyBorder="1" applyAlignment="1">
      <alignment horizontal="center" vertical="center"/>
    </xf>
    <xf numFmtId="0" fontId="1" fillId="6" borderId="21" xfId="0" applyFont="1" applyFill="1" applyBorder="1" applyAlignment="1">
      <alignment horizontal="center" vertical="center"/>
    </xf>
    <xf numFmtId="176" fontId="1" fillId="5" borderId="9" xfId="0" applyNumberFormat="1" applyFont="1" applyFill="1" applyBorder="1" applyAlignment="1" applyProtection="1">
      <alignment horizontal="right" vertical="center"/>
      <protection locked="0"/>
    </xf>
    <xf numFmtId="176" fontId="1" fillId="5" borderId="12" xfId="0" applyNumberFormat="1" applyFont="1" applyFill="1" applyBorder="1" applyAlignment="1" applyProtection="1">
      <alignment horizontal="right" vertical="center"/>
      <protection locked="0"/>
    </xf>
    <xf numFmtId="176" fontId="1" fillId="5" borderId="10" xfId="0" applyNumberFormat="1" applyFont="1" applyFill="1" applyBorder="1" applyAlignment="1" applyProtection="1">
      <alignment horizontal="right" vertical="center"/>
      <protection locked="0"/>
    </xf>
    <xf numFmtId="0" fontId="8" fillId="0" borderId="13" xfId="0" applyFont="1" applyBorder="1" applyAlignment="1">
      <alignment horizontal="center" vertical="center"/>
    </xf>
    <xf numFmtId="10" fontId="8" fillId="0" borderId="13" xfId="0" applyNumberFormat="1" applyFont="1" applyBorder="1" applyAlignment="1">
      <alignment horizontal="center" vertical="center"/>
    </xf>
    <xf numFmtId="176" fontId="8" fillId="8" borderId="3" xfId="0" applyNumberFormat="1" applyFont="1" applyFill="1" applyBorder="1">
      <alignment vertical="center"/>
    </xf>
    <xf numFmtId="176" fontId="8" fillId="8" borderId="4" xfId="0" applyNumberFormat="1" applyFont="1" applyFill="1" applyBorder="1">
      <alignment vertical="center"/>
    </xf>
    <xf numFmtId="176" fontId="8" fillId="8" borderId="5" xfId="0" applyNumberFormat="1" applyFont="1" applyFill="1" applyBorder="1">
      <alignment vertical="center"/>
    </xf>
    <xf numFmtId="0" fontId="1" fillId="7" borderId="3" xfId="0" applyFont="1" applyFill="1" applyBorder="1" applyAlignment="1">
      <alignment vertical="center" shrinkToFit="1"/>
    </xf>
    <xf numFmtId="0" fontId="1" fillId="7" borderId="4" xfId="0" applyFont="1" applyFill="1" applyBorder="1" applyAlignment="1">
      <alignment vertical="center" shrinkToFit="1"/>
    </xf>
    <xf numFmtId="0" fontId="1" fillId="7" borderId="5" xfId="0" applyFont="1" applyFill="1" applyBorder="1" applyAlignment="1">
      <alignment vertical="center" shrinkToFit="1"/>
    </xf>
    <xf numFmtId="0" fontId="3" fillId="0" borderId="0" xfId="0" applyFont="1" applyAlignment="1">
      <alignment horizontal="left" vertical="top" wrapText="1"/>
    </xf>
    <xf numFmtId="0" fontId="3" fillId="0" borderId="0" xfId="0" applyFont="1" applyAlignment="1">
      <alignment horizontal="left" vertical="top"/>
    </xf>
    <xf numFmtId="0" fontId="1" fillId="5" borderId="4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protection locked="0"/>
    </xf>
    <xf numFmtId="0" fontId="1" fillId="5" borderId="38" xfId="0" applyFont="1" applyFill="1" applyBorder="1" applyAlignment="1" applyProtection="1">
      <alignment horizontal="center" vertical="center"/>
      <protection locked="0"/>
    </xf>
    <xf numFmtId="176" fontId="1" fillId="5" borderId="1" xfId="0" applyNumberFormat="1" applyFont="1" applyFill="1" applyBorder="1" applyAlignment="1" applyProtection="1">
      <alignment horizontal="right" vertical="center"/>
      <protection locked="0"/>
    </xf>
    <xf numFmtId="0" fontId="1" fillId="0" borderId="0" xfId="0" applyFont="1" applyBorder="1" applyAlignment="1">
      <alignment horizontal="center" vertical="center"/>
    </xf>
    <xf numFmtId="0" fontId="1" fillId="0" borderId="22" xfId="0" applyFont="1" applyBorder="1" applyAlignment="1">
      <alignment horizontal="center" vertical="center"/>
    </xf>
    <xf numFmtId="0" fontId="1" fillId="6" borderId="21" xfId="0"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23" xfId="0" applyFont="1" applyFill="1" applyBorder="1" applyAlignment="1">
      <alignment horizontal="center" vertical="center" wrapText="1"/>
    </xf>
    <xf numFmtId="0" fontId="7" fillId="5" borderId="27" xfId="0" applyFont="1" applyFill="1" applyBorder="1" applyAlignment="1" applyProtection="1">
      <alignment horizontal="center" vertical="center"/>
      <protection locked="0"/>
    </xf>
    <xf numFmtId="0" fontId="7" fillId="5" borderId="28" xfId="0" applyFont="1" applyFill="1" applyBorder="1" applyAlignment="1" applyProtection="1">
      <alignment horizontal="center" vertical="center"/>
      <protection locked="0"/>
    </xf>
    <xf numFmtId="176" fontId="1" fillId="5" borderId="28" xfId="0" applyNumberFormat="1" applyFont="1" applyFill="1" applyBorder="1" applyAlignment="1" applyProtection="1">
      <alignment horizontal="right" vertical="center"/>
      <protection locked="0"/>
    </xf>
    <xf numFmtId="0" fontId="1" fillId="0" borderId="25" xfId="0" applyFont="1" applyBorder="1" applyAlignment="1">
      <alignment horizontal="center" vertical="center"/>
    </xf>
    <xf numFmtId="176" fontId="1" fillId="8" borderId="1" xfId="0" applyNumberFormat="1" applyFont="1" applyFill="1" applyBorder="1" applyAlignment="1">
      <alignment horizontal="right" vertical="center"/>
    </xf>
    <xf numFmtId="176" fontId="1" fillId="8" borderId="9" xfId="0" applyNumberFormat="1" applyFont="1" applyFill="1" applyBorder="1" applyAlignment="1">
      <alignment horizontal="right" vertical="center"/>
    </xf>
    <xf numFmtId="0" fontId="1" fillId="7" borderId="3"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15" xfId="0" applyFont="1" applyFill="1" applyBorder="1" applyAlignment="1">
      <alignment horizontal="center" vertical="center"/>
    </xf>
    <xf numFmtId="0" fontId="1" fillId="8" borderId="16" xfId="0" applyFont="1" applyFill="1" applyBorder="1" applyAlignment="1">
      <alignment horizontal="center" vertical="center"/>
    </xf>
    <xf numFmtId="176" fontId="1" fillId="5" borderId="36" xfId="0" applyNumberFormat="1" applyFont="1" applyFill="1" applyBorder="1" applyAlignment="1" applyProtection="1">
      <alignment horizontal="right" vertical="center"/>
      <protection locked="0"/>
    </xf>
    <xf numFmtId="176" fontId="1" fillId="5" borderId="35" xfId="0" applyNumberFormat="1" applyFont="1" applyFill="1" applyBorder="1" applyAlignment="1" applyProtection="1">
      <alignment horizontal="right" vertical="center"/>
      <protection locked="0"/>
    </xf>
    <xf numFmtId="176" fontId="1" fillId="5" borderId="33" xfId="0" applyNumberFormat="1" applyFont="1" applyFill="1" applyBorder="1" applyAlignment="1" applyProtection="1">
      <alignment horizontal="right" vertical="center"/>
      <protection locked="0"/>
    </xf>
    <xf numFmtId="176" fontId="1" fillId="5" borderId="34" xfId="0" applyNumberFormat="1" applyFont="1" applyFill="1" applyBorder="1" applyAlignment="1" applyProtection="1">
      <alignment horizontal="right" vertical="center"/>
      <protection locked="0"/>
    </xf>
    <xf numFmtId="177" fontId="1" fillId="8" borderId="14" xfId="0" applyNumberFormat="1" applyFont="1" applyFill="1" applyBorder="1" applyAlignment="1">
      <alignment horizontal="center" vertical="center"/>
    </xf>
    <xf numFmtId="177" fontId="1" fillId="8" borderId="15" xfId="0" applyNumberFormat="1" applyFont="1" applyFill="1" applyBorder="1" applyAlignment="1">
      <alignment horizontal="center" vertical="center"/>
    </xf>
    <xf numFmtId="177" fontId="1" fillId="8" borderId="16" xfId="0" applyNumberFormat="1" applyFont="1" applyFill="1" applyBorder="1" applyAlignment="1">
      <alignment horizontal="center" vertical="center"/>
    </xf>
    <xf numFmtId="0" fontId="7" fillId="5" borderId="32" xfId="0" applyFont="1" applyFill="1" applyBorder="1" applyAlignment="1" applyProtection="1">
      <alignment horizontal="center" vertical="center"/>
      <protection locked="0"/>
    </xf>
    <xf numFmtId="0" fontId="7" fillId="5" borderId="33" xfId="0" applyFont="1" applyFill="1" applyBorder="1" applyAlignment="1" applyProtection="1">
      <alignment horizontal="center" vertical="center"/>
      <protection locked="0"/>
    </xf>
    <xf numFmtId="0" fontId="7" fillId="5" borderId="34"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5" borderId="31" xfId="0" applyFont="1" applyFill="1" applyBorder="1" applyAlignment="1" applyProtection="1">
      <alignment horizontal="center" vertical="center"/>
      <protection locked="0"/>
    </xf>
    <xf numFmtId="0" fontId="1" fillId="5" borderId="35" xfId="0" applyFont="1" applyFill="1" applyBorder="1" applyAlignment="1" applyProtection="1">
      <alignment horizontal="center" vertical="center"/>
      <protection locked="0"/>
    </xf>
    <xf numFmtId="0" fontId="1" fillId="5" borderId="37" xfId="0" applyFont="1" applyFill="1" applyBorder="1" applyAlignment="1" applyProtection="1">
      <alignment horizontal="center" vertical="center"/>
      <protection locked="0"/>
    </xf>
    <xf numFmtId="177" fontId="1" fillId="0" borderId="24" xfId="0" applyNumberFormat="1" applyFont="1" applyBorder="1" applyAlignment="1">
      <alignment horizontal="center" vertical="center" shrinkToFit="1"/>
    </xf>
    <xf numFmtId="0" fontId="1" fillId="6" borderId="1" xfId="0" applyFont="1" applyFill="1" applyBorder="1" applyAlignment="1">
      <alignment horizontal="center" vertical="center"/>
    </xf>
    <xf numFmtId="0" fontId="1" fillId="6" borderId="9" xfId="0" applyFont="1" applyFill="1" applyBorder="1" applyAlignment="1">
      <alignment horizontal="center" vertical="center"/>
    </xf>
    <xf numFmtId="0" fontId="8" fillId="6" borderId="21" xfId="0" applyFont="1" applyFill="1" applyBorder="1" applyAlignment="1">
      <alignment horizontal="center" vertical="center" wrapText="1"/>
    </xf>
    <xf numFmtId="0" fontId="8" fillId="6" borderId="23" xfId="0" applyFont="1" applyFill="1" applyBorder="1" applyAlignment="1">
      <alignment horizontal="center" vertical="center"/>
    </xf>
    <xf numFmtId="0" fontId="1" fillId="5" borderId="29" xfId="0" applyFont="1" applyFill="1" applyBorder="1" applyAlignment="1" applyProtection="1">
      <alignment horizontal="center" vertical="center"/>
      <protection locked="0"/>
    </xf>
    <xf numFmtId="0" fontId="1" fillId="5" borderId="40" xfId="0" applyFont="1" applyFill="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colors>
    <mruColors>
      <color rgb="FFDDEBF7"/>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265500</xdr:colOff>
      <xdr:row>25</xdr:row>
      <xdr:rowOff>127363</xdr:rowOff>
    </xdr:from>
    <xdr:to>
      <xdr:col>29</xdr:col>
      <xdr:colOff>274299</xdr:colOff>
      <xdr:row>33</xdr:row>
      <xdr:rowOff>107769</xdr:rowOff>
    </xdr:to>
    <xdr:pic>
      <xdr:nvPicPr>
        <xdr:cNvPr id="2" name="図 1">
          <a:extLst>
            <a:ext uri="{FF2B5EF4-FFF2-40B4-BE49-F238E27FC236}">
              <a16:creationId xmlns:a16="http://schemas.microsoft.com/office/drawing/2014/main" id="{DA210768-A2D2-0B60-CFEB-A314F802A2FF}"/>
            </a:ext>
          </a:extLst>
        </xdr:cNvPr>
        <xdr:cNvPicPr>
          <a:picLocks noChangeAspect="1"/>
        </xdr:cNvPicPr>
      </xdr:nvPicPr>
      <xdr:blipFill>
        <a:blip xmlns:r="http://schemas.openxmlformats.org/officeDocument/2006/relationships" r:embed="rId1"/>
        <a:stretch>
          <a:fillRect/>
        </a:stretch>
      </xdr:blipFill>
      <xdr:spPr>
        <a:xfrm>
          <a:off x="9648986" y="6822077"/>
          <a:ext cx="2033542" cy="2037806"/>
        </a:xfrm>
        <a:prstGeom prst="rect">
          <a:avLst/>
        </a:prstGeom>
      </xdr:spPr>
    </xdr:pic>
    <xdr:clientData/>
  </xdr:twoCellAnchor>
  <xdr:twoCellAnchor>
    <xdr:from>
      <xdr:col>1</xdr:col>
      <xdr:colOff>43543</xdr:colOff>
      <xdr:row>25</xdr:row>
      <xdr:rowOff>21772</xdr:rowOff>
    </xdr:from>
    <xdr:to>
      <xdr:col>23</xdr:col>
      <xdr:colOff>239486</xdr:colOff>
      <xdr:row>29</xdr:row>
      <xdr:rowOff>134471</xdr:rowOff>
    </xdr:to>
    <xdr:sp macro="" textlink="">
      <xdr:nvSpPr>
        <xdr:cNvPr id="3" name="テキスト ボックス 2">
          <a:extLst>
            <a:ext uri="{FF2B5EF4-FFF2-40B4-BE49-F238E27FC236}">
              <a16:creationId xmlns:a16="http://schemas.microsoft.com/office/drawing/2014/main" id="{A8C016AE-28AD-DC90-887D-A11F18F6BEE1}"/>
            </a:ext>
          </a:extLst>
        </xdr:cNvPr>
        <xdr:cNvSpPr txBox="1"/>
      </xdr:nvSpPr>
      <xdr:spPr>
        <a:xfrm>
          <a:off x="1038625" y="6736337"/>
          <a:ext cx="8273143" cy="10450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※1</a:t>
          </a:r>
          <a:r>
            <a:rPr kumimoji="1" lang="ja-JP" altLang="en-US" sz="1100"/>
            <a:t>　保険税の軽減判定をするため、世帯主が国保加入者ではない場合も世帯主の収入は必ず入力してください。</a:t>
          </a:r>
          <a:endParaRPr kumimoji="1" lang="en-US" altLang="ja-JP" sz="1100"/>
        </a:p>
        <a:p>
          <a:r>
            <a:rPr kumimoji="1" lang="en-US" altLang="ja-JP" sz="1100"/>
            <a:t>※2</a:t>
          </a:r>
          <a:r>
            <a:rPr kumimoji="1" lang="ja-JP" altLang="en-US" sz="1100"/>
            <a:t>　介護保険料の対象や、未就学児に係る均等割額の２分の１減額の判定をしますので、年齢は正しく選択してください。</a:t>
          </a:r>
          <a:endParaRPr kumimoji="1" lang="en-US" altLang="ja-JP" sz="1100"/>
        </a:p>
        <a:p>
          <a:r>
            <a:rPr kumimoji="1" lang="en-US" altLang="ja-JP" sz="1100"/>
            <a:t>※3</a:t>
          </a:r>
          <a:r>
            <a:rPr kumimoji="1" lang="ja-JP" altLang="en-US" sz="1100"/>
            <a:t>　「その他の所得」が複数種類ある場合や損失が有る場合は本エクセルでは正しく計算できない場合があります。</a:t>
          </a:r>
          <a:endParaRPr kumimoji="1" lang="en-US" altLang="ja-JP" sz="1100"/>
        </a:p>
        <a:p>
          <a:r>
            <a:rPr kumimoji="1" lang="en-US" altLang="ja-JP" sz="1100"/>
            <a:t>※4</a:t>
          </a:r>
          <a:r>
            <a:rPr kumimoji="1" lang="ja-JP" altLang="en-US" sz="1100"/>
            <a:t>　雇用保険受給資格者証をお持ちの方で、非自発的失業（倒産・雇止めなど）に該当する場合に選択してください。</a:t>
          </a:r>
          <a:endParaRPr kumimoji="1" lang="en-US" altLang="ja-JP" sz="1100"/>
        </a:p>
        <a:p>
          <a:r>
            <a:rPr kumimoji="1" lang="en-US" altLang="ja-JP" sz="1100"/>
            <a:t>※5</a:t>
          </a:r>
          <a:r>
            <a:rPr kumimoji="1" lang="ja-JP" altLang="en-US" sz="1100"/>
            <a:t>　世帯主が国保加入者でない場合（社会保険や国保組合、</a:t>
          </a:r>
          <a:r>
            <a:rPr kumimoji="1" lang="en-US" altLang="ja-JP" sz="1100"/>
            <a:t>75</a:t>
          </a:r>
          <a:r>
            <a:rPr kumimoji="1" lang="ja-JP" altLang="en-US" sz="1100"/>
            <a:t>歳以上の場合）は選択してください。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49"/>
  <sheetViews>
    <sheetView tabSelected="1" topLeftCell="A2" zoomScale="85" zoomScaleNormal="85" zoomScaleSheetLayoutView="100" workbookViewId="0">
      <selection activeCell="B18" sqref="B18:H18"/>
    </sheetView>
  </sheetViews>
  <sheetFormatPr defaultColWidth="3.21875" defaultRowHeight="18.899999999999999" customHeight="1" x14ac:dyDescent="0.2"/>
  <cols>
    <col min="1" max="1" width="14.5546875" style="1" customWidth="1"/>
    <col min="2" max="2" width="6.5546875" style="1" customWidth="1"/>
    <col min="3" max="4" width="6.6640625" style="1" customWidth="1"/>
    <col min="5" max="5" width="7" style="1" customWidth="1"/>
    <col min="6" max="7" width="4.88671875" style="1" customWidth="1"/>
    <col min="8" max="8" width="5" style="1" customWidth="1"/>
    <col min="9" max="15" width="4.88671875" style="1" customWidth="1"/>
    <col min="16" max="16" width="8.5546875" style="1" customWidth="1"/>
    <col min="17" max="30" width="4.88671875" style="1" customWidth="1"/>
    <col min="31" max="31" width="3.21875" style="1" customWidth="1"/>
    <col min="32" max="34" width="3.77734375" style="1" hidden="1" customWidth="1"/>
    <col min="35" max="36" width="3.77734375" style="2" hidden="1" customWidth="1"/>
    <col min="37" max="37" width="6.88671875" style="2" hidden="1" customWidth="1"/>
    <col min="38" max="39" width="3.77734375" style="2" hidden="1" customWidth="1"/>
    <col min="40" max="40" width="5.33203125" style="2" hidden="1" customWidth="1"/>
    <col min="41" max="42" width="3.77734375" style="2" hidden="1" customWidth="1"/>
    <col min="43" max="43" width="5.109375" style="2" hidden="1" customWidth="1"/>
    <col min="44" max="45" width="3.77734375" style="2" hidden="1" customWidth="1"/>
    <col min="46" max="46" width="4.5546875" style="2" hidden="1" customWidth="1"/>
    <col min="47" max="48" width="3.77734375" style="2" hidden="1" customWidth="1"/>
    <col min="49" max="49" width="4.21875" style="2" hidden="1" customWidth="1"/>
    <col min="50" max="54" width="3.77734375" style="2" hidden="1" customWidth="1"/>
    <col min="55" max="55" width="8.77734375" style="2" hidden="1" customWidth="1"/>
    <col min="56" max="60" width="3.21875" style="2" hidden="1" customWidth="1"/>
    <col min="61" max="62" width="10.44140625" style="2" hidden="1" customWidth="1"/>
    <col min="63" max="63" width="10.77734375" style="1" hidden="1" customWidth="1"/>
    <col min="64" max="64" width="11.77734375" style="1" hidden="1" customWidth="1"/>
    <col min="65" max="81" width="6.6640625" style="4" hidden="1" customWidth="1"/>
    <col min="82" max="82" width="14.44140625" style="1" hidden="1" customWidth="1"/>
    <col min="83" max="83" width="4.33203125" style="1" hidden="1" customWidth="1"/>
    <col min="84" max="84" width="5.6640625" style="1" hidden="1" customWidth="1"/>
    <col min="85" max="87" width="8.21875" style="1" hidden="1" customWidth="1"/>
    <col min="88" max="91" width="3.21875" style="1" hidden="1" customWidth="1"/>
    <col min="92" max="92" width="0" style="1" hidden="1" customWidth="1"/>
    <col min="93" max="16384" width="3.21875" style="1"/>
  </cols>
  <sheetData>
    <row r="1" spans="1:88" ht="38.25" hidden="1" customHeight="1" x14ac:dyDescent="0.2">
      <c r="AJ1" s="3"/>
      <c r="AK1" s="3"/>
      <c r="AL1" s="3"/>
      <c r="AM1" s="3"/>
      <c r="AN1" s="3"/>
      <c r="AO1" s="3"/>
      <c r="AP1" s="3"/>
      <c r="AQ1" s="3"/>
      <c r="AR1" s="3"/>
      <c r="AS1" s="3"/>
      <c r="AT1" s="3"/>
      <c r="AU1" s="3"/>
      <c r="AV1" s="3"/>
      <c r="AW1" s="3"/>
      <c r="AX1" s="3"/>
      <c r="AY1" s="3"/>
      <c r="AZ1" s="3"/>
      <c r="BA1" s="3"/>
      <c r="BB1" s="3"/>
      <c r="BC1" s="3"/>
      <c r="BD1" s="3"/>
      <c r="BE1" s="3"/>
      <c r="BF1" s="3"/>
      <c r="BG1" s="3"/>
      <c r="BH1" s="3"/>
      <c r="BI1" s="3"/>
      <c r="BJ1" s="3"/>
      <c r="CD1" s="8"/>
    </row>
    <row r="2" spans="1:88" ht="27.6" customHeight="1" x14ac:dyDescent="0.2">
      <c r="A2" s="31" t="s">
        <v>103</v>
      </c>
      <c r="B2" s="27"/>
      <c r="C2" s="27"/>
      <c r="D2" s="27"/>
      <c r="E2" s="27"/>
      <c r="F2" s="27"/>
      <c r="G2" s="27"/>
      <c r="H2" s="27"/>
      <c r="I2" s="27"/>
      <c r="J2" s="27"/>
      <c r="K2" s="27"/>
      <c r="L2" s="27"/>
      <c r="M2" s="27"/>
      <c r="N2" s="27"/>
      <c r="O2" s="27"/>
      <c r="AJ2" s="3"/>
      <c r="AK2" s="3"/>
      <c r="AL2" s="3"/>
      <c r="AM2" s="3"/>
      <c r="AN2" s="3"/>
      <c r="AO2" s="3"/>
      <c r="AP2" s="3"/>
      <c r="AQ2" s="3"/>
      <c r="AR2" s="3"/>
      <c r="AS2" s="3"/>
      <c r="AT2" s="3"/>
      <c r="AU2" s="3"/>
      <c r="AV2" s="3"/>
      <c r="AW2" s="3"/>
      <c r="AX2" s="3"/>
      <c r="AY2" s="3"/>
      <c r="AZ2" s="3"/>
      <c r="BA2" s="3"/>
      <c r="BB2" s="3"/>
      <c r="BC2" s="3"/>
      <c r="BD2" s="3"/>
      <c r="BE2" s="3"/>
      <c r="BF2" s="3"/>
      <c r="BG2" s="3"/>
      <c r="BH2" s="3"/>
      <c r="BI2" s="3"/>
      <c r="BJ2" s="3"/>
      <c r="BL2" s="49"/>
      <c r="BM2" s="6" t="s">
        <v>130</v>
      </c>
      <c r="CD2" s="21" t="s">
        <v>58</v>
      </c>
    </row>
    <row r="3" spans="1:88" ht="18.899999999999999" customHeight="1" x14ac:dyDescent="0.2">
      <c r="A3" s="71" t="s">
        <v>129</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3"/>
      <c r="BE3" s="3"/>
      <c r="BF3" s="3"/>
      <c r="BG3" s="3"/>
      <c r="BH3" s="3"/>
      <c r="BI3" s="3"/>
      <c r="BJ3" s="3"/>
      <c r="CD3" s="21" t="s">
        <v>114</v>
      </c>
    </row>
    <row r="4" spans="1:88" ht="18.899999999999999" customHeight="1" x14ac:dyDescent="0.2">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3"/>
      <c r="BE4" s="3"/>
      <c r="BF4" s="3"/>
      <c r="BG4" s="3"/>
      <c r="BH4" s="3"/>
      <c r="BI4" s="3"/>
      <c r="BJ4" s="3"/>
      <c r="CD4" s="21" t="s">
        <v>115</v>
      </c>
    </row>
    <row r="5" spans="1:88" ht="18.899999999999999" customHeight="1" x14ac:dyDescent="0.2">
      <c r="A5" s="72"/>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c r="AN5" s="72"/>
      <c r="AO5" s="72"/>
      <c r="AP5" s="72"/>
      <c r="AQ5" s="72"/>
      <c r="AR5" s="72"/>
      <c r="AS5" s="72"/>
      <c r="AT5" s="72"/>
      <c r="AU5" s="72"/>
      <c r="AV5" s="72"/>
      <c r="AW5" s="72"/>
      <c r="AX5" s="72"/>
      <c r="AY5" s="72"/>
      <c r="AZ5" s="72"/>
      <c r="BA5" s="72"/>
      <c r="BB5" s="72"/>
      <c r="BC5" s="72"/>
      <c r="BD5" s="3"/>
      <c r="BE5" s="3"/>
      <c r="BF5" s="3"/>
      <c r="BG5" s="3"/>
      <c r="BH5" s="3"/>
      <c r="BI5" s="3"/>
      <c r="BJ5" s="3"/>
      <c r="CD5" s="21" t="s">
        <v>1</v>
      </c>
    </row>
    <row r="6" spans="1:88" ht="18.899999999999999" customHeight="1" x14ac:dyDescent="0.2">
      <c r="A6" s="72"/>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c r="AN6" s="72"/>
      <c r="AO6" s="72"/>
      <c r="AP6" s="72"/>
      <c r="AQ6" s="72"/>
      <c r="AR6" s="72"/>
      <c r="AS6" s="72"/>
      <c r="AT6" s="72"/>
      <c r="AU6" s="72"/>
      <c r="AV6" s="72"/>
      <c r="AW6" s="72"/>
      <c r="AX6" s="72"/>
      <c r="AY6" s="72"/>
      <c r="AZ6" s="72"/>
      <c r="BA6" s="72"/>
      <c r="BB6" s="72"/>
      <c r="BC6" s="72"/>
      <c r="BD6" s="3"/>
      <c r="BE6" s="3"/>
      <c r="BF6" s="3"/>
      <c r="BG6" s="3"/>
      <c r="BH6" s="3"/>
      <c r="BI6" s="3"/>
      <c r="BJ6" s="3"/>
      <c r="CD6" s="22" t="s">
        <v>2</v>
      </c>
    </row>
    <row r="7" spans="1:88" ht="18.899999999999999" customHeight="1" x14ac:dyDescent="0.2">
      <c r="A7" s="72"/>
      <c r="B7" s="72"/>
      <c r="C7" s="72"/>
      <c r="D7" s="72"/>
      <c r="E7" s="72"/>
      <c r="F7" s="72"/>
      <c r="G7" s="72"/>
      <c r="H7" s="72"/>
      <c r="I7" s="72"/>
      <c r="J7" s="72"/>
      <c r="K7" s="72"/>
      <c r="L7" s="72"/>
      <c r="M7" s="72"/>
      <c r="N7" s="72"/>
      <c r="O7" s="72"/>
      <c r="P7" s="72"/>
      <c r="Q7" s="72"/>
      <c r="R7" s="72"/>
      <c r="S7" s="72"/>
      <c r="T7" s="72"/>
      <c r="U7" s="72"/>
      <c r="V7" s="72"/>
      <c r="W7" s="72"/>
      <c r="X7" s="72"/>
      <c r="Y7" s="72"/>
      <c r="Z7" s="72"/>
      <c r="AA7" s="72"/>
      <c r="AB7" s="72"/>
      <c r="AC7" s="72"/>
      <c r="AD7" s="72"/>
      <c r="AE7" s="72"/>
      <c r="AF7" s="72"/>
      <c r="AG7" s="72"/>
      <c r="AH7" s="72"/>
      <c r="AI7" s="72"/>
      <c r="AJ7" s="72"/>
      <c r="AK7" s="72"/>
      <c r="AL7" s="72"/>
      <c r="AM7" s="72"/>
      <c r="AN7" s="72"/>
      <c r="AO7" s="72"/>
      <c r="AP7" s="72"/>
      <c r="AQ7" s="72"/>
      <c r="AR7" s="72"/>
      <c r="AS7" s="72"/>
      <c r="AT7" s="72"/>
      <c r="AU7" s="72"/>
      <c r="AV7" s="72"/>
      <c r="AW7" s="72"/>
      <c r="AX7" s="72"/>
      <c r="AY7" s="72"/>
      <c r="AZ7" s="72"/>
      <c r="BA7" s="72"/>
      <c r="BB7" s="72"/>
      <c r="BC7" s="72"/>
      <c r="BD7" s="3"/>
      <c r="BE7" s="3"/>
      <c r="BF7" s="3"/>
      <c r="BG7" s="3"/>
      <c r="BH7" s="3"/>
      <c r="BI7" s="3"/>
      <c r="BJ7" s="3"/>
      <c r="CD7" s="23" t="s">
        <v>113</v>
      </c>
    </row>
    <row r="8" spans="1:88" ht="33.6" customHeight="1" x14ac:dyDescent="0.2">
      <c r="A8" s="72"/>
      <c r="B8" s="72"/>
      <c r="C8" s="72"/>
      <c r="D8" s="72"/>
      <c r="E8" s="72"/>
      <c r="F8" s="72"/>
      <c r="G8" s="72"/>
      <c r="H8" s="72"/>
      <c r="I8" s="72"/>
      <c r="J8" s="72"/>
      <c r="K8" s="72"/>
      <c r="L8" s="72"/>
      <c r="M8" s="72"/>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3"/>
      <c r="BE8" s="17" t="s">
        <v>42</v>
      </c>
      <c r="BF8" s="17" t="s">
        <v>43</v>
      </c>
      <c r="BG8" s="17" t="s">
        <v>45</v>
      </c>
      <c r="BH8" s="17" t="s">
        <v>46</v>
      </c>
      <c r="BI8" s="17" t="s">
        <v>51</v>
      </c>
      <c r="BJ8" s="17" t="s">
        <v>52</v>
      </c>
      <c r="BK8" s="18" t="s">
        <v>50</v>
      </c>
      <c r="BL8" s="18" t="s">
        <v>54</v>
      </c>
      <c r="BM8" s="7" t="s">
        <v>3</v>
      </c>
      <c r="BN8" s="7" t="s">
        <v>4</v>
      </c>
      <c r="BO8" s="7" t="s">
        <v>5</v>
      </c>
      <c r="BP8" s="7" t="s">
        <v>6</v>
      </c>
      <c r="BQ8" s="7" t="s">
        <v>7</v>
      </c>
      <c r="BR8" s="7" t="s">
        <v>8</v>
      </c>
      <c r="BS8" s="7" t="s">
        <v>13</v>
      </c>
      <c r="BT8" s="7" t="s">
        <v>14</v>
      </c>
      <c r="BU8" s="7" t="s">
        <v>15</v>
      </c>
      <c r="BV8" s="7" t="s">
        <v>16</v>
      </c>
      <c r="BW8" s="7" t="s">
        <v>17</v>
      </c>
      <c r="BX8" s="7" t="s">
        <v>18</v>
      </c>
      <c r="BY8" s="7" t="s">
        <v>68</v>
      </c>
      <c r="BZ8" s="7" t="s">
        <v>61</v>
      </c>
      <c r="CA8" s="7" t="s">
        <v>69</v>
      </c>
      <c r="CB8" s="7" t="s">
        <v>70</v>
      </c>
      <c r="CC8" s="7" t="s">
        <v>71</v>
      </c>
      <c r="CD8" s="21" t="s">
        <v>116</v>
      </c>
      <c r="CG8" s="6" t="s">
        <v>42</v>
      </c>
    </row>
    <row r="9" spans="1:88" ht="18.899999999999999" customHeight="1" thickBot="1" x14ac:dyDescent="0.25">
      <c r="A9" s="1" t="s">
        <v>110</v>
      </c>
      <c r="AJ9" s="3"/>
      <c r="AK9" s="3"/>
      <c r="AL9" s="3"/>
      <c r="AM9" s="3"/>
      <c r="AN9" s="3"/>
      <c r="AO9" s="3"/>
      <c r="AP9" s="3"/>
      <c r="AQ9" s="3"/>
      <c r="AR9" s="3"/>
      <c r="AS9" s="3"/>
      <c r="AT9" s="3"/>
      <c r="AU9" s="3"/>
      <c r="AV9" s="3"/>
      <c r="AW9" s="3"/>
      <c r="AX9" s="3"/>
      <c r="AY9" s="3"/>
      <c r="AZ9" s="3"/>
      <c r="BA9" s="3"/>
      <c r="BB9" s="3"/>
      <c r="BC9" s="3"/>
      <c r="BD9" s="3"/>
      <c r="BE9" s="41"/>
      <c r="BF9" s="41"/>
      <c r="BG9" s="41"/>
      <c r="BH9" s="41"/>
      <c r="BI9" s="42"/>
      <c r="BJ9" s="42"/>
      <c r="BK9" s="42"/>
      <c r="BL9" s="42"/>
      <c r="BM9" s="43"/>
      <c r="BN9" s="43"/>
      <c r="BO9" s="43"/>
      <c r="BP9" s="43"/>
      <c r="BQ9" s="43"/>
      <c r="BR9" s="43"/>
      <c r="BS9" s="43"/>
      <c r="BT9" s="43"/>
      <c r="BU9" s="43"/>
      <c r="BV9" s="43"/>
      <c r="BW9" s="43"/>
      <c r="BX9" s="43"/>
      <c r="BY9" s="43"/>
      <c r="BZ9" s="43"/>
      <c r="CA9" s="43"/>
      <c r="CB9" s="43"/>
      <c r="CC9" s="43"/>
      <c r="CD9" s="21" t="s">
        <v>117</v>
      </c>
      <c r="CG9" s="14">
        <v>1900000</v>
      </c>
      <c r="CH9" s="14">
        <v>0.7</v>
      </c>
      <c r="CI9" s="14">
        <v>80000</v>
      </c>
      <c r="CJ9" s="4"/>
    </row>
    <row r="10" spans="1:88" ht="30" customHeight="1" thickTop="1" thickBot="1" x14ac:dyDescent="0.25">
      <c r="B10" s="98">
        <f>IF(KANYU="","",$L$42+$Q$42+$V$42+$AA$42)</f>
        <v>0</v>
      </c>
      <c r="C10" s="99"/>
      <c r="D10" s="99"/>
      <c r="E10" s="99"/>
      <c r="F10" s="99"/>
      <c r="G10" s="100"/>
      <c r="H10" s="5"/>
      <c r="L10" s="37" t="s">
        <v>128</v>
      </c>
      <c r="M10" s="37"/>
      <c r="N10" s="37"/>
      <c r="O10" s="38"/>
      <c r="P10" s="38"/>
      <c r="Q10" s="108">
        <f>IF(KANYU="","",INT($R$31/LEFT(KANYU,LEN(KANYU)-2)))</f>
        <v>0</v>
      </c>
      <c r="R10" s="108"/>
      <c r="S10" s="108"/>
      <c r="T10" s="108"/>
      <c r="U10" s="108"/>
      <c r="V10" s="108"/>
      <c r="AJ10" s="3"/>
      <c r="AK10" s="3"/>
      <c r="AL10" s="3"/>
      <c r="AM10" s="3"/>
      <c r="AN10" s="3"/>
      <c r="AO10" s="3"/>
      <c r="AP10" s="3"/>
      <c r="AQ10" s="3"/>
      <c r="AR10" s="3"/>
      <c r="AS10" s="3"/>
      <c r="AT10" s="3"/>
      <c r="AU10" s="3"/>
      <c r="AV10" s="3"/>
      <c r="AW10" s="3"/>
      <c r="AX10" s="3"/>
      <c r="AY10" s="3"/>
      <c r="AZ10" s="3"/>
      <c r="BA10" s="3"/>
      <c r="BB10" s="3"/>
      <c r="BC10" s="3"/>
      <c r="BD10" s="3"/>
      <c r="BE10" s="41"/>
      <c r="BF10" s="41"/>
      <c r="BG10" s="41"/>
      <c r="BH10" s="41"/>
      <c r="BI10" s="42"/>
      <c r="BJ10" s="42"/>
      <c r="BK10" s="42"/>
      <c r="BL10" s="42"/>
      <c r="BM10" s="43"/>
      <c r="BN10" s="43"/>
      <c r="BO10" s="43"/>
      <c r="BP10" s="43"/>
      <c r="BQ10" s="43"/>
      <c r="BR10" s="43"/>
      <c r="BS10" s="43"/>
      <c r="BT10" s="43"/>
      <c r="BU10" s="43"/>
      <c r="BV10" s="43"/>
      <c r="BW10" s="43"/>
      <c r="BX10" s="43"/>
      <c r="BY10" s="43"/>
      <c r="BZ10" s="43"/>
      <c r="CA10" s="43"/>
      <c r="CB10" s="43"/>
      <c r="CC10" s="43"/>
      <c r="CD10" s="21" t="s">
        <v>118</v>
      </c>
      <c r="CG10" s="14">
        <v>1900000</v>
      </c>
      <c r="CH10" s="14">
        <v>0.7</v>
      </c>
      <c r="CI10" s="14">
        <v>80000</v>
      </c>
      <c r="CJ10" s="4"/>
    </row>
    <row r="11" spans="1:88" ht="18.899999999999999" customHeight="1" thickTop="1" x14ac:dyDescent="0.2">
      <c r="C11" s="85" t="str">
        <f>IF(KGN&lt;&gt;"",KGN&amp;"軽減","")</f>
        <v/>
      </c>
      <c r="D11" s="85"/>
      <c r="E11" s="85"/>
      <c r="F11" s="85"/>
      <c r="AJ11" s="3"/>
      <c r="AK11" s="3"/>
      <c r="AL11" s="3"/>
      <c r="AM11" s="3"/>
      <c r="AN11" s="3"/>
      <c r="AO11" s="3"/>
      <c r="AP11" s="3"/>
      <c r="AQ11" s="3"/>
      <c r="AR11" s="3"/>
      <c r="AS11" s="3"/>
      <c r="AT11" s="3"/>
      <c r="AU11" s="3"/>
      <c r="AV11" s="3"/>
      <c r="AW11" s="3"/>
      <c r="AX11" s="3"/>
      <c r="AY11" s="3"/>
      <c r="AZ11" s="3"/>
      <c r="BA11" s="3"/>
      <c r="BB11" s="3"/>
      <c r="BC11" s="3"/>
      <c r="BD11" s="3"/>
      <c r="BE11" s="41"/>
      <c r="BF11" s="41"/>
      <c r="BG11" s="41"/>
      <c r="BH11" s="41"/>
      <c r="BI11" s="42"/>
      <c r="BJ11" s="42"/>
      <c r="BK11" s="42"/>
      <c r="BL11" s="42"/>
      <c r="BM11" s="43"/>
      <c r="BN11" s="43"/>
      <c r="BO11" s="43"/>
      <c r="BP11" s="43"/>
      <c r="BQ11" s="43"/>
      <c r="BR11" s="43"/>
      <c r="BS11" s="43"/>
      <c r="BT11" s="43"/>
      <c r="BU11" s="43"/>
      <c r="BV11" s="43"/>
      <c r="BW11" s="43"/>
      <c r="BX11" s="43"/>
      <c r="BY11" s="43"/>
      <c r="BZ11" s="43"/>
      <c r="CA11" s="43"/>
      <c r="CB11" s="43"/>
      <c r="CC11" s="43"/>
      <c r="CD11" s="21" t="s">
        <v>119</v>
      </c>
      <c r="CG11" s="14">
        <v>1900000</v>
      </c>
      <c r="CH11" s="14">
        <v>0.7</v>
      </c>
      <c r="CI11" s="14">
        <v>80000</v>
      </c>
      <c r="CJ11" s="4"/>
    </row>
    <row r="12" spans="1:88" ht="18.899999999999999" customHeight="1" x14ac:dyDescent="0.2">
      <c r="AJ12" s="3"/>
      <c r="AK12" s="3"/>
      <c r="AL12" s="3"/>
      <c r="AM12" s="3"/>
      <c r="AN12" s="3"/>
      <c r="AO12" s="3"/>
      <c r="AP12" s="3"/>
      <c r="AQ12" s="3"/>
      <c r="AR12" s="3"/>
      <c r="AS12" s="3"/>
      <c r="AT12" s="3"/>
      <c r="AU12" s="3"/>
      <c r="AV12" s="3"/>
      <c r="AW12" s="3"/>
      <c r="AX12" s="3"/>
      <c r="AY12" s="3"/>
      <c r="AZ12" s="3"/>
      <c r="BA12" s="3"/>
      <c r="BB12" s="3"/>
      <c r="BC12" s="3"/>
      <c r="BD12" s="3"/>
      <c r="BE12" s="41"/>
      <c r="BF12" s="41"/>
      <c r="BG12" s="41"/>
      <c r="BH12" s="41"/>
      <c r="BI12" s="42"/>
      <c r="BJ12" s="42"/>
      <c r="BK12" s="42"/>
      <c r="BL12" s="42"/>
      <c r="BM12" s="43"/>
      <c r="BN12" s="43"/>
      <c r="BO12" s="43"/>
      <c r="BP12" s="43"/>
      <c r="BQ12" s="43"/>
      <c r="BR12" s="43"/>
      <c r="BS12" s="43"/>
      <c r="BT12" s="43"/>
      <c r="BU12" s="43"/>
      <c r="BV12" s="43"/>
      <c r="BW12" s="43"/>
      <c r="BX12" s="43"/>
      <c r="BY12" s="43"/>
      <c r="BZ12" s="43"/>
      <c r="CA12" s="43"/>
      <c r="CB12" s="43"/>
      <c r="CC12" s="43"/>
      <c r="CD12" s="21" t="s">
        <v>120</v>
      </c>
      <c r="CG12" s="14">
        <v>1900000</v>
      </c>
      <c r="CH12" s="14">
        <v>0.7</v>
      </c>
      <c r="CI12" s="14">
        <v>80000</v>
      </c>
      <c r="CJ12" s="4"/>
    </row>
    <row r="13" spans="1:88" ht="18.899999999999999" customHeight="1" thickBot="1" x14ac:dyDescent="0.25">
      <c r="A13" s="1" t="s">
        <v>0</v>
      </c>
      <c r="AJ13" s="3"/>
      <c r="AK13" s="3"/>
      <c r="AL13" s="3"/>
      <c r="AM13" s="3"/>
      <c r="AN13" s="3"/>
      <c r="AO13" s="3"/>
      <c r="AP13" s="3"/>
      <c r="AQ13" s="3"/>
      <c r="AR13" s="3"/>
      <c r="AS13" s="3"/>
      <c r="AT13" s="3"/>
      <c r="AU13" s="3"/>
      <c r="AV13" s="3"/>
      <c r="AW13" s="3"/>
      <c r="AX13" s="3"/>
      <c r="AY13" s="3"/>
      <c r="AZ13" s="3"/>
      <c r="BA13" s="3"/>
      <c r="BB13" s="3"/>
      <c r="BC13" s="3"/>
      <c r="BD13" s="3"/>
      <c r="BE13" s="15">
        <f t="shared" ref="BE13:BE17" si="0">IF(I18&gt;550000,1,0)</f>
        <v>0</v>
      </c>
      <c r="BF13" s="15">
        <f t="shared" ref="BF13:BF17" si="1">IF(B18=AGE_3,IF(O18&gt;1250000,1,0),IF(O18&gt;600000,1,0))</f>
        <v>0</v>
      </c>
      <c r="BG13" s="15">
        <f>IF(BE13+BF13&gt;0,1,0)</f>
        <v>0</v>
      </c>
      <c r="BH13" s="15">
        <f t="shared" ref="BH13:BH20" si="2">IF(AC18&lt;&gt;"非加入",IF(B18&lt;&gt;AGE_0,1,0),0)</f>
        <v>0</v>
      </c>
      <c r="BI13" s="16">
        <f t="shared" ref="BI13:BI17" si="3">IF(I18&gt;=KS_10,I18-KJ_10,IF(I18&gt;=KS_9,TRUNC(I18*KR_9-KJ_9),IF(I18&gt;=KS_8,TRUNC(TRUNC(I18/4000)*4000)*KR_8-KJ_8,IF(I18&gt;=KS_7,TRUNC(TRUNC(I18/4000)*4000)*KR_7-KJ_7,IF(I18&gt;=KS_1,I18-KJ_1,IF(I18&gt;=KS_0,0,0))))))</f>
        <v>0</v>
      </c>
      <c r="BJ13" s="16">
        <f t="shared" ref="BJ13:BJ20" si="4">IF(AA18="該当",BI13*0.3,BI13)</f>
        <v>0</v>
      </c>
      <c r="BK13" s="16">
        <f t="shared" ref="BK13:BK17" si="5">IF(BJ13&gt;0,IF(AL18&gt;0,IF(IF(BJ13&gt;100000,100000,BJ13)+IF(AL18&gt;100000,100000,AL18)&gt;100000,IF(BJ13&gt;100000,100000,BJ13)+IF(AL18&gt;100000,100000,AL18)-100000,0),0),0)</f>
        <v>0</v>
      </c>
      <c r="BL13" s="16">
        <f t="shared" ref="BL13:BL20" si="6">IF(B18=AGE_3,IF(AL18&gt;=150000,AR18-150000,AR18-AL18),AR18)</f>
        <v>0</v>
      </c>
      <c r="BM13" s="7" t="str">
        <f t="shared" ref="BM13:BM20" si="7">IF(OR(B18=AGE_0,B18=AGE_6),"",IF(AC18="",TRUNC(AX18*IR_SYT),0))</f>
        <v/>
      </c>
      <c r="BN13" s="7" t="str">
        <f t="shared" ref="BN13:BN20" si="8">IF(AC18="非加入",0,IF(OR(B18=AGE_0,B18=AGE_6),"",IF(B18=AGE_4,IR_KIN/2,IF(AC18="",IR_KIN,0))))</f>
        <v/>
      </c>
      <c r="BO13" s="7" t="str">
        <f t="shared" ref="BO13:BO20" si="9">IF(OR(B18=AGE_0,B18=AGE_6),"",IF(AC18="",TRUNC(AX18*SI_SYT),0))</f>
        <v/>
      </c>
      <c r="BP13" s="7" t="str">
        <f t="shared" ref="BP13:BP20" si="10">IF(AC18="非加入",0,IF(OR(B18=AGE_0,B18=AGE_6),"",IF(B18=AGE_4,SI_KIN/2,IF(AC18="",SI_KIN,0))))</f>
        <v/>
      </c>
      <c r="BQ13" s="7" t="str">
        <f t="shared" ref="BQ13:BQ20" si="11">IF(B18=AGE_2,IF(AC18="",TRUNC(AX18*KG_SYT),0),"")</f>
        <v/>
      </c>
      <c r="BR13" s="7" t="str">
        <f t="shared" ref="BR13:BR17" si="12">IF(B18=AGE_2,IF(AC18="",KG_KIN,0),"")</f>
        <v/>
      </c>
      <c r="BS13" s="7" t="str">
        <f t="shared" ref="BS13:BS17" si="13">IF(B18=AGE_0,"",IF(AC18="",TRUNC(BD13*IR_SAN),0))</f>
        <v/>
      </c>
      <c r="BT13" s="7"/>
      <c r="BU13" s="7" t="str">
        <f>IF(B18=AGE_0,"",IF(AC18="",TRUNC(BD13*SI_SAN),0))</f>
        <v/>
      </c>
      <c r="BV13" s="7"/>
      <c r="BW13" s="7" t="str">
        <f t="shared" ref="BW13:BW17" si="14">IF(B18=AGE_2,IF(AC18="",TRUNC(BD13*KG_SAN),0),"")</f>
        <v/>
      </c>
      <c r="BX13" s="7"/>
      <c r="BY13" s="7" t="str">
        <f t="shared" ref="BY13:BY20" si="15">IF(OR(B18=AGE_0,B18=AGE_6),"",IF(AC18="",TRUNC(AX18*KD_SYT),0))</f>
        <v/>
      </c>
      <c r="BZ13" s="7">
        <f>IF(AC18="非加入",0,IF(OR(B18=AGE_0,B18=AGE_6),0,IF(B18=AGE_1,0,IF(B18=AGE_4,0,1))))</f>
        <v>0</v>
      </c>
      <c r="CA13" s="7">
        <f>BZ13*(KD_KIN+KD_18KIN)</f>
        <v>0</v>
      </c>
      <c r="CB13" s="7" t="str">
        <f t="shared" ref="CB13:CB17" si="16">IF(B18=AGE_0,"",IF(AC18="",TRUNC(BD13*KD_SAN),0))</f>
        <v/>
      </c>
      <c r="CC13" s="7"/>
      <c r="CD13" s="21" t="s">
        <v>121</v>
      </c>
      <c r="CG13" s="14">
        <v>0</v>
      </c>
      <c r="CH13" s="14"/>
      <c r="CI13" s="14">
        <v>0</v>
      </c>
      <c r="CJ13" s="4"/>
    </row>
    <row r="14" spans="1:88" ht="18.899999999999999" customHeight="1" thickTop="1" thickBot="1" x14ac:dyDescent="0.25">
      <c r="B14" s="73" t="s">
        <v>127</v>
      </c>
      <c r="C14" s="74"/>
      <c r="D14" s="74"/>
      <c r="E14" s="74"/>
      <c r="F14" s="74"/>
      <c r="G14" s="74"/>
      <c r="H14" s="75"/>
      <c r="I14" s="45"/>
      <c r="AJ14" s="3"/>
      <c r="AK14" s="3"/>
      <c r="AL14" s="3"/>
      <c r="AM14" s="3"/>
      <c r="AN14" s="3"/>
      <c r="AO14" s="3"/>
      <c r="AP14" s="3"/>
      <c r="AQ14" s="3"/>
      <c r="AR14" s="3"/>
      <c r="AS14" s="3"/>
      <c r="AT14" s="3"/>
      <c r="AU14" s="3"/>
      <c r="AV14" s="3"/>
      <c r="AW14" s="3"/>
      <c r="AX14" s="3"/>
      <c r="AY14" s="3"/>
      <c r="AZ14" s="3"/>
      <c r="BA14" s="3"/>
      <c r="BB14" s="3"/>
      <c r="BC14" s="3"/>
      <c r="BD14" s="3"/>
      <c r="BE14" s="15">
        <f t="shared" si="0"/>
        <v>0</v>
      </c>
      <c r="BF14" s="15">
        <f t="shared" si="1"/>
        <v>0</v>
      </c>
      <c r="BG14" s="15">
        <f t="shared" ref="BG14:BG20" si="17">IF(BE14+BF14&gt;0,1,0)</f>
        <v>0</v>
      </c>
      <c r="BH14" s="15">
        <f t="shared" si="2"/>
        <v>0</v>
      </c>
      <c r="BI14" s="16">
        <f t="shared" si="3"/>
        <v>0</v>
      </c>
      <c r="BJ14" s="16">
        <f t="shared" si="4"/>
        <v>0</v>
      </c>
      <c r="BK14" s="16">
        <f t="shared" si="5"/>
        <v>0</v>
      </c>
      <c r="BL14" s="16">
        <f t="shared" si="6"/>
        <v>0</v>
      </c>
      <c r="BM14" s="7" t="str">
        <f t="shared" si="7"/>
        <v/>
      </c>
      <c r="BN14" s="7" t="str">
        <f t="shared" si="8"/>
        <v/>
      </c>
      <c r="BO14" s="7" t="str">
        <f t="shared" si="9"/>
        <v/>
      </c>
      <c r="BP14" s="7" t="str">
        <f t="shared" si="10"/>
        <v/>
      </c>
      <c r="BQ14" s="7" t="str">
        <f t="shared" si="11"/>
        <v/>
      </c>
      <c r="BR14" s="7" t="str">
        <f t="shared" si="12"/>
        <v/>
      </c>
      <c r="BS14" s="7" t="str">
        <f t="shared" si="13"/>
        <v/>
      </c>
      <c r="BT14" s="7"/>
      <c r="BU14" s="7" t="str">
        <f t="shared" ref="BU14:BU17" si="18">IF(B19=AGE_0,"",IF(AC19="",TRUNC(BD14*SI_SAN),0))</f>
        <v/>
      </c>
      <c r="BV14" s="7"/>
      <c r="BW14" s="7" t="str">
        <f t="shared" si="14"/>
        <v/>
      </c>
      <c r="BX14" s="7"/>
      <c r="BY14" s="7" t="str">
        <f t="shared" si="15"/>
        <v/>
      </c>
      <c r="BZ14" s="7">
        <f t="shared" ref="BZ14:BZ20" si="19">IF(AC19="非加入",0,IF(OR(B19=AGE_0,B19=AGE_6),0,IF(B19=AGE_1,0,IF(B19=AGE_4,0,1))))</f>
        <v>0</v>
      </c>
      <c r="CA14" s="7">
        <f>BZ14*(KD_KIN+KD_18KIN)</f>
        <v>0</v>
      </c>
      <c r="CB14" s="7" t="str">
        <f t="shared" si="16"/>
        <v/>
      </c>
      <c r="CC14" s="7"/>
      <c r="CD14" s="21" t="s">
        <v>122</v>
      </c>
      <c r="CG14" s="14">
        <v>651000</v>
      </c>
      <c r="CH14" s="14"/>
      <c r="CI14" s="14">
        <v>650000</v>
      </c>
      <c r="CJ14" s="4"/>
    </row>
    <row r="15" spans="1:88" ht="18.899999999999999" customHeight="1" thickTop="1" x14ac:dyDescent="0.2">
      <c r="F15" s="5"/>
      <c r="G15" s="5"/>
      <c r="H15" s="5"/>
      <c r="I15" s="5"/>
      <c r="AJ15" s="3"/>
      <c r="AK15" s="3"/>
      <c r="AL15" s="3"/>
      <c r="AM15" s="3"/>
      <c r="AN15" s="3"/>
      <c r="AO15" s="3"/>
      <c r="AP15" s="3"/>
      <c r="AQ15" s="3"/>
      <c r="AR15" s="3"/>
      <c r="AS15" s="3"/>
      <c r="AT15" s="3"/>
      <c r="AU15" s="3"/>
      <c r="AV15" s="3"/>
      <c r="AW15" s="3"/>
      <c r="AX15" s="3"/>
      <c r="AY15" s="3"/>
      <c r="AZ15" s="3"/>
      <c r="BA15" s="3"/>
      <c r="BB15" s="3"/>
      <c r="BC15" s="3"/>
      <c r="BD15" s="3"/>
      <c r="BE15" s="15">
        <f t="shared" si="0"/>
        <v>0</v>
      </c>
      <c r="BF15" s="15">
        <f t="shared" si="1"/>
        <v>0</v>
      </c>
      <c r="BG15" s="15">
        <f t="shared" si="17"/>
        <v>0</v>
      </c>
      <c r="BH15" s="15">
        <f t="shared" si="2"/>
        <v>0</v>
      </c>
      <c r="BI15" s="16">
        <f t="shared" si="3"/>
        <v>0</v>
      </c>
      <c r="BJ15" s="16">
        <f t="shared" si="4"/>
        <v>0</v>
      </c>
      <c r="BK15" s="16">
        <f t="shared" si="5"/>
        <v>0</v>
      </c>
      <c r="BL15" s="16">
        <f t="shared" si="6"/>
        <v>0</v>
      </c>
      <c r="BM15" s="7" t="str">
        <f t="shared" si="7"/>
        <v/>
      </c>
      <c r="BN15" s="7" t="str">
        <f t="shared" si="8"/>
        <v/>
      </c>
      <c r="BO15" s="7" t="str">
        <f t="shared" si="9"/>
        <v/>
      </c>
      <c r="BP15" s="7" t="str">
        <f t="shared" si="10"/>
        <v/>
      </c>
      <c r="BQ15" s="7" t="str">
        <f t="shared" si="11"/>
        <v/>
      </c>
      <c r="BR15" s="7" t="str">
        <f t="shared" si="12"/>
        <v/>
      </c>
      <c r="BS15" s="7" t="str">
        <f t="shared" si="13"/>
        <v/>
      </c>
      <c r="BT15" s="7"/>
      <c r="BU15" s="7" t="str">
        <f t="shared" si="18"/>
        <v/>
      </c>
      <c r="BV15" s="7"/>
      <c r="BW15" s="7" t="str">
        <f t="shared" si="14"/>
        <v/>
      </c>
      <c r="BX15" s="7"/>
      <c r="BY15" s="7" t="str">
        <f t="shared" si="15"/>
        <v/>
      </c>
      <c r="BZ15" s="7">
        <f t="shared" si="19"/>
        <v>0</v>
      </c>
      <c r="CA15" s="7">
        <f t="shared" ref="CA15:CA20" si="20">BZ15*(KD_KIN+KD_18KIN)</f>
        <v>0</v>
      </c>
      <c r="CB15" s="7" t="str">
        <f t="shared" si="16"/>
        <v/>
      </c>
      <c r="CC15" s="7"/>
      <c r="CD15" s="21" t="s">
        <v>123</v>
      </c>
      <c r="CG15" s="14">
        <v>1900000</v>
      </c>
      <c r="CH15" s="14">
        <v>0.7</v>
      </c>
      <c r="CI15" s="14">
        <v>80000</v>
      </c>
      <c r="CJ15" s="4"/>
    </row>
    <row r="16" spans="1:88" ht="18.899999999999999" customHeight="1" x14ac:dyDescent="0.2">
      <c r="A16" s="1" t="s">
        <v>39</v>
      </c>
      <c r="AJ16" s="3"/>
      <c r="AK16" s="3"/>
      <c r="AL16" s="3"/>
      <c r="AM16" s="3"/>
      <c r="AN16" s="3"/>
      <c r="AO16" s="3"/>
      <c r="AP16" s="3"/>
      <c r="AQ16" s="3"/>
      <c r="AR16" s="3"/>
      <c r="AS16" s="3"/>
      <c r="AT16" s="3"/>
      <c r="AU16" s="3"/>
      <c r="AV16" s="3"/>
      <c r="AW16" s="3"/>
      <c r="AX16" s="3"/>
      <c r="AY16" s="3"/>
      <c r="AZ16" s="3"/>
      <c r="BA16" s="3"/>
      <c r="BB16" s="3"/>
      <c r="BC16" s="3"/>
      <c r="BD16" s="3"/>
      <c r="BE16" s="15">
        <f t="shared" si="0"/>
        <v>0</v>
      </c>
      <c r="BF16" s="15">
        <f t="shared" si="1"/>
        <v>0</v>
      </c>
      <c r="BG16" s="15">
        <f t="shared" si="17"/>
        <v>0</v>
      </c>
      <c r="BH16" s="15">
        <f t="shared" si="2"/>
        <v>0</v>
      </c>
      <c r="BI16" s="16">
        <f t="shared" si="3"/>
        <v>0</v>
      </c>
      <c r="BJ16" s="16">
        <f t="shared" si="4"/>
        <v>0</v>
      </c>
      <c r="BK16" s="16">
        <f t="shared" si="5"/>
        <v>0</v>
      </c>
      <c r="BL16" s="16">
        <f t="shared" si="6"/>
        <v>0</v>
      </c>
      <c r="BM16" s="7" t="str">
        <f t="shared" si="7"/>
        <v/>
      </c>
      <c r="BN16" s="7" t="str">
        <f t="shared" si="8"/>
        <v/>
      </c>
      <c r="BO16" s="7" t="str">
        <f t="shared" si="9"/>
        <v/>
      </c>
      <c r="BP16" s="7" t="str">
        <f t="shared" si="10"/>
        <v/>
      </c>
      <c r="BQ16" s="7" t="str">
        <f t="shared" si="11"/>
        <v/>
      </c>
      <c r="BR16" s="7" t="str">
        <f t="shared" si="12"/>
        <v/>
      </c>
      <c r="BS16" s="7" t="str">
        <f t="shared" si="13"/>
        <v/>
      </c>
      <c r="BT16" s="7"/>
      <c r="BU16" s="7" t="str">
        <f t="shared" si="18"/>
        <v/>
      </c>
      <c r="BV16" s="7"/>
      <c r="BW16" s="7" t="str">
        <f t="shared" si="14"/>
        <v/>
      </c>
      <c r="BX16" s="7"/>
      <c r="BY16" s="7" t="str">
        <f t="shared" si="15"/>
        <v/>
      </c>
      <c r="BZ16" s="7">
        <f t="shared" si="19"/>
        <v>0</v>
      </c>
      <c r="CA16" s="7">
        <f t="shared" si="20"/>
        <v>0</v>
      </c>
      <c r="CB16" s="7" t="str">
        <f t="shared" si="16"/>
        <v/>
      </c>
      <c r="CC16" s="7"/>
      <c r="CD16" s="21" t="s">
        <v>124</v>
      </c>
      <c r="CG16" s="14">
        <v>3600000</v>
      </c>
      <c r="CH16" s="14">
        <v>0.8</v>
      </c>
      <c r="CI16" s="14">
        <v>440000</v>
      </c>
      <c r="CJ16" s="4"/>
    </row>
    <row r="17" spans="1:88" ht="70.2" customHeight="1" thickBot="1" x14ac:dyDescent="0.25">
      <c r="A17" s="26" t="s">
        <v>96</v>
      </c>
      <c r="B17" s="79" t="s">
        <v>112</v>
      </c>
      <c r="C17" s="80"/>
      <c r="D17" s="80"/>
      <c r="E17" s="80"/>
      <c r="F17" s="80"/>
      <c r="G17" s="80"/>
      <c r="H17" s="81"/>
      <c r="I17" s="57" t="s">
        <v>105</v>
      </c>
      <c r="J17" s="58"/>
      <c r="K17" s="58"/>
      <c r="L17" s="58"/>
      <c r="M17" s="58"/>
      <c r="N17" s="58"/>
      <c r="O17" s="57" t="s">
        <v>106</v>
      </c>
      <c r="P17" s="58"/>
      <c r="Q17" s="58"/>
      <c r="R17" s="58"/>
      <c r="S17" s="58"/>
      <c r="T17" s="59"/>
      <c r="U17" s="57" t="s">
        <v>108</v>
      </c>
      <c r="V17" s="58"/>
      <c r="W17" s="58"/>
      <c r="X17" s="58"/>
      <c r="Y17" s="58"/>
      <c r="Z17" s="59"/>
      <c r="AA17" s="111" t="s">
        <v>109</v>
      </c>
      <c r="AB17" s="112"/>
      <c r="AC17" s="111" t="s">
        <v>107</v>
      </c>
      <c r="AD17" s="112"/>
      <c r="AE17" s="35"/>
      <c r="AF17" s="109" t="s">
        <v>37</v>
      </c>
      <c r="AG17" s="109"/>
      <c r="AH17" s="109"/>
      <c r="AI17" s="109"/>
      <c r="AJ17" s="109"/>
      <c r="AK17" s="110"/>
      <c r="AL17" s="109" t="s">
        <v>38</v>
      </c>
      <c r="AM17" s="109"/>
      <c r="AN17" s="109"/>
      <c r="AO17" s="109"/>
      <c r="AP17" s="109"/>
      <c r="AQ17" s="110"/>
      <c r="AR17" s="109" t="s">
        <v>36</v>
      </c>
      <c r="AS17" s="109"/>
      <c r="AT17" s="109"/>
      <c r="AU17" s="109"/>
      <c r="AV17" s="109"/>
      <c r="AW17" s="110"/>
      <c r="AX17" s="109" t="s">
        <v>81</v>
      </c>
      <c r="AY17" s="109"/>
      <c r="AZ17" s="109"/>
      <c r="BA17" s="109"/>
      <c r="BB17" s="109"/>
      <c r="BC17" s="110"/>
      <c r="BD17" s="3"/>
      <c r="BE17" s="15">
        <f t="shared" si="0"/>
        <v>0</v>
      </c>
      <c r="BF17" s="15">
        <f t="shared" si="1"/>
        <v>0</v>
      </c>
      <c r="BG17" s="15">
        <f t="shared" si="17"/>
        <v>0</v>
      </c>
      <c r="BH17" s="15">
        <f t="shared" si="2"/>
        <v>0</v>
      </c>
      <c r="BI17" s="16">
        <f t="shared" si="3"/>
        <v>0</v>
      </c>
      <c r="BJ17" s="16">
        <f t="shared" si="4"/>
        <v>0</v>
      </c>
      <c r="BK17" s="16">
        <f t="shared" si="5"/>
        <v>0</v>
      </c>
      <c r="BL17" s="16">
        <f t="shared" si="6"/>
        <v>0</v>
      </c>
      <c r="BM17" s="7" t="str">
        <f t="shared" si="7"/>
        <v/>
      </c>
      <c r="BN17" s="7" t="str">
        <f t="shared" si="8"/>
        <v/>
      </c>
      <c r="BO17" s="7" t="str">
        <f t="shared" si="9"/>
        <v/>
      </c>
      <c r="BP17" s="7" t="str">
        <f t="shared" si="10"/>
        <v/>
      </c>
      <c r="BQ17" s="7" t="str">
        <f t="shared" si="11"/>
        <v/>
      </c>
      <c r="BR17" s="7" t="str">
        <f t="shared" si="12"/>
        <v/>
      </c>
      <c r="BS17" s="7" t="str">
        <f t="shared" si="13"/>
        <v/>
      </c>
      <c r="BT17" s="7"/>
      <c r="BU17" s="7" t="str">
        <f t="shared" si="18"/>
        <v/>
      </c>
      <c r="BV17" s="7"/>
      <c r="BW17" s="7" t="str">
        <f t="shared" si="14"/>
        <v/>
      </c>
      <c r="BX17" s="7"/>
      <c r="BY17" s="7" t="str">
        <f t="shared" si="15"/>
        <v/>
      </c>
      <c r="BZ17" s="7">
        <f t="shared" si="19"/>
        <v>0</v>
      </c>
      <c r="CA17" s="7">
        <f t="shared" si="20"/>
        <v>0</v>
      </c>
      <c r="CB17" s="7" t="str">
        <f t="shared" si="16"/>
        <v/>
      </c>
      <c r="CC17" s="7"/>
      <c r="CD17" s="21" t="s">
        <v>125</v>
      </c>
      <c r="CG17" s="14">
        <v>6600000</v>
      </c>
      <c r="CH17" s="14">
        <v>0.9</v>
      </c>
      <c r="CI17" s="14">
        <v>1100000</v>
      </c>
      <c r="CJ17" s="4"/>
    </row>
    <row r="18" spans="1:88" ht="18.899999999999999" customHeight="1" thickTop="1" thickBot="1" x14ac:dyDescent="0.25">
      <c r="A18" s="44" t="s">
        <v>88</v>
      </c>
      <c r="B18" s="82"/>
      <c r="C18" s="83"/>
      <c r="D18" s="83"/>
      <c r="E18" s="83"/>
      <c r="F18" s="83"/>
      <c r="G18" s="83"/>
      <c r="H18" s="83"/>
      <c r="I18" s="84"/>
      <c r="J18" s="84"/>
      <c r="K18" s="84"/>
      <c r="L18" s="84"/>
      <c r="M18" s="84"/>
      <c r="N18" s="84"/>
      <c r="O18" s="84"/>
      <c r="P18" s="84"/>
      <c r="Q18" s="84"/>
      <c r="R18" s="84"/>
      <c r="S18" s="84"/>
      <c r="T18" s="84"/>
      <c r="U18" s="84"/>
      <c r="V18" s="84"/>
      <c r="W18" s="84"/>
      <c r="X18" s="84"/>
      <c r="Y18" s="84"/>
      <c r="Z18" s="84"/>
      <c r="AA18" s="113"/>
      <c r="AB18" s="114"/>
      <c r="AC18" s="74"/>
      <c r="AD18" s="75"/>
      <c r="AE18" s="36"/>
      <c r="AF18" s="86">
        <f>IF(BJ13-BK13&gt;0,BJ13-BK13,0)</f>
        <v>0</v>
      </c>
      <c r="AG18" s="86"/>
      <c r="AH18" s="86"/>
      <c r="AI18" s="86"/>
      <c r="AJ18" s="86"/>
      <c r="AK18" s="87"/>
      <c r="AL18" s="86">
        <f t="shared" ref="AL18:AL25" si="21">IF(B18=AGE_0,0,IF(B18=AGE_3,IF(O18&gt;=NS_65_4,O18-NK_65_4,IF(O18&gt;=NS_65_3,O18*NR_65_3-NK_65_3,IF(O18&gt;=NS_65_2,O18*NR_65_2-NK_65_2,IF(O18&gt;=NS_65_1,O18*NR_65_1-NK_65_1,IF(O18&gt;=NK_65_0,O18-NK_65_0,0))))),IF(O18&gt;=NS_64_4,O18-NK_64_4,IF(O18&gt;=NS_64_3,O18*NR_64_3-NK_64_3,IF(O18&gt;=NS_64_2,O18*NR_64_2-NK_64_2,IF(O18&gt;=NS_64_1,O18*NR_64_1-NK_64_1,IF(O18&gt;=NK_64_0,O18-NK_64_0,0)))))))</f>
        <v>0</v>
      </c>
      <c r="AM18" s="86"/>
      <c r="AN18" s="86"/>
      <c r="AO18" s="86"/>
      <c r="AP18" s="86"/>
      <c r="AQ18" s="87"/>
      <c r="AR18" s="86">
        <f t="shared" ref="AR18:AR25" si="22">IF(U18+AF18+AL18&lt;0,0,U18+AF18+AL18)</f>
        <v>0</v>
      </c>
      <c r="AS18" s="86"/>
      <c r="AT18" s="86"/>
      <c r="AU18" s="86"/>
      <c r="AV18" s="86"/>
      <c r="AW18" s="87"/>
      <c r="AX18" s="86">
        <f t="shared" ref="AX18:AX25" si="23">IF(AR18&gt;=KISO_3,AR18,IF(AR18&gt;=KISO_2,AR18-KS_KJ_2,IF(AR18&gt;=KISO_1,AR18-KS_KJ_1,IF(AR18&gt;KISO_0,IF(AR18-KS_KJ_0&lt;0,0,AR18-KS_KJ_0),0))))</f>
        <v>0</v>
      </c>
      <c r="AY18" s="86"/>
      <c r="AZ18" s="86"/>
      <c r="BA18" s="86"/>
      <c r="BB18" s="86"/>
      <c r="BC18" s="87"/>
      <c r="BD18" s="3"/>
      <c r="BE18" s="15">
        <f>IF(I23&gt;550000,1,0)</f>
        <v>0</v>
      </c>
      <c r="BF18" s="15">
        <f>IF(B23=AGE_3,IF(O23&gt;1250000,1,0),IF(O23&gt;600000,1,0))</f>
        <v>0</v>
      </c>
      <c r="BG18" s="15">
        <f t="shared" si="17"/>
        <v>0</v>
      </c>
      <c r="BH18" s="15">
        <f t="shared" si="2"/>
        <v>0</v>
      </c>
      <c r="BI18" s="16">
        <f>IF(I23&gt;=KS_10,I23-KJ_10,IF(I23&gt;=KS_9,TRUNC(I23*KR_9-KJ_9),IF(I23&gt;=KS_8,TRUNC(TRUNC(I23/4000)*4000)*KR_8-KJ_8,IF(I23&gt;=KS_7,TRUNC(TRUNC(I23/4000)*4000)*KR_7-KJ_7,IF(I23&gt;=KS_1,I23-KJ_1,IF(I23&gt;=KS_0,0,0))))))</f>
        <v>0</v>
      </c>
      <c r="BJ18" s="16">
        <f t="shared" si="4"/>
        <v>0</v>
      </c>
      <c r="BK18" s="16">
        <f t="shared" ref="BK18:BK20" si="24">IF(BJ18&gt;0,IF(AL23&gt;0,IF(IF(BJ18&gt;100000,100000,BJ18)+IF(AL23&gt;100000,100000,AL23)&gt;100000,IF(BJ18&gt;100000,100000,BJ18)+IF(AL23&gt;100000,100000,AL23)-100000,0),0),0)</f>
        <v>0</v>
      </c>
      <c r="BL18" s="16">
        <f t="shared" si="6"/>
        <v>0</v>
      </c>
      <c r="BM18" s="7" t="str">
        <f t="shared" si="7"/>
        <v/>
      </c>
      <c r="BN18" s="7" t="str">
        <f t="shared" si="8"/>
        <v/>
      </c>
      <c r="BO18" s="7" t="str">
        <f t="shared" si="9"/>
        <v/>
      </c>
      <c r="BP18" s="7" t="str">
        <f t="shared" si="10"/>
        <v/>
      </c>
      <c r="BQ18" s="7" t="str">
        <f t="shared" si="11"/>
        <v/>
      </c>
      <c r="BR18" s="7" t="str">
        <f>IF(B23=AGE_2,IF(AC23="",KG_KIN,0),"")</f>
        <v/>
      </c>
      <c r="BS18" s="7" t="str">
        <f>IF(B23=AGE_0,"",IF(AC23="",TRUNC(BD18*IR_SAN),0))</f>
        <v/>
      </c>
      <c r="BT18" s="7"/>
      <c r="BU18" s="7" t="str">
        <f>IF(B23=AGE_0,"",IF(AC23="",TRUNC(BD18*SI_SAN),0))</f>
        <v/>
      </c>
      <c r="BV18" s="7"/>
      <c r="BW18" s="7" t="str">
        <f>IF(B23=AGE_2,IF(AC23="",TRUNC(BD18*KG_SAN),0),"")</f>
        <v/>
      </c>
      <c r="BX18" s="7"/>
      <c r="BY18" s="7" t="str">
        <f t="shared" si="15"/>
        <v/>
      </c>
      <c r="BZ18" s="7">
        <f t="shared" si="19"/>
        <v>0</v>
      </c>
      <c r="CA18" s="7">
        <f t="shared" si="20"/>
        <v>0</v>
      </c>
      <c r="CB18" s="7" t="str">
        <f>IF(B23=AGE_0,"",IF(AC23="",TRUNC(BD18*KD_SAN),0))</f>
        <v/>
      </c>
      <c r="CC18" s="7"/>
      <c r="CD18" s="21" t="s">
        <v>126</v>
      </c>
      <c r="CG18" s="14">
        <v>8500000</v>
      </c>
      <c r="CH18" s="14"/>
      <c r="CI18" s="14">
        <v>1950000</v>
      </c>
      <c r="CJ18" s="4"/>
    </row>
    <row r="19" spans="1:88" ht="18.899999999999999" customHeight="1" thickTop="1" x14ac:dyDescent="0.2">
      <c r="A19" s="44" t="s">
        <v>89</v>
      </c>
      <c r="B19" s="54"/>
      <c r="C19" s="55"/>
      <c r="D19" s="55"/>
      <c r="E19" s="55"/>
      <c r="F19" s="55"/>
      <c r="G19" s="55"/>
      <c r="H19" s="56"/>
      <c r="I19" s="60"/>
      <c r="J19" s="61"/>
      <c r="K19" s="61"/>
      <c r="L19" s="61"/>
      <c r="M19" s="61"/>
      <c r="N19" s="62"/>
      <c r="O19" s="60"/>
      <c r="P19" s="61"/>
      <c r="Q19" s="61"/>
      <c r="R19" s="61"/>
      <c r="S19" s="61"/>
      <c r="T19" s="62"/>
      <c r="U19" s="76"/>
      <c r="V19" s="76"/>
      <c r="W19" s="76"/>
      <c r="X19" s="76"/>
      <c r="Y19" s="76"/>
      <c r="Z19" s="76"/>
      <c r="AA19" s="104" t="s">
        <v>111</v>
      </c>
      <c r="AB19" s="105"/>
      <c r="AC19" s="77"/>
      <c r="AD19" s="77"/>
      <c r="AE19" s="36"/>
      <c r="AF19" s="86">
        <f>IF(BJ14-BK14&gt;0,BJ14-BK14,0)</f>
        <v>0</v>
      </c>
      <c r="AG19" s="86"/>
      <c r="AH19" s="86"/>
      <c r="AI19" s="86"/>
      <c r="AJ19" s="86"/>
      <c r="AK19" s="87"/>
      <c r="AL19" s="86">
        <f t="shared" si="21"/>
        <v>0</v>
      </c>
      <c r="AM19" s="86"/>
      <c r="AN19" s="86"/>
      <c r="AO19" s="86"/>
      <c r="AP19" s="86"/>
      <c r="AQ19" s="87"/>
      <c r="AR19" s="86">
        <f t="shared" si="22"/>
        <v>0</v>
      </c>
      <c r="AS19" s="86"/>
      <c r="AT19" s="86"/>
      <c r="AU19" s="86"/>
      <c r="AV19" s="86"/>
      <c r="AW19" s="87"/>
      <c r="AX19" s="86">
        <f t="shared" si="23"/>
        <v>0</v>
      </c>
      <c r="AY19" s="86"/>
      <c r="AZ19" s="86"/>
      <c r="BA19" s="86"/>
      <c r="BB19" s="86"/>
      <c r="BC19" s="87"/>
      <c r="BD19" s="3"/>
      <c r="BE19" s="15">
        <f>IF(I24&gt;550000,1,0)</f>
        <v>0</v>
      </c>
      <c r="BF19" s="15">
        <f>IF(B24=AGE_3,IF(O24&gt;1250000,1,0),IF(O24&gt;600000,1,0))</f>
        <v>0</v>
      </c>
      <c r="BG19" s="15">
        <f t="shared" si="17"/>
        <v>0</v>
      </c>
      <c r="BH19" s="15">
        <f t="shared" si="2"/>
        <v>0</v>
      </c>
      <c r="BI19" s="16">
        <f>IF(I24&gt;=KS_10,I24-KJ_10,IF(I24&gt;=KS_9,TRUNC(I24*KR_9-KJ_9),IF(I24&gt;=KS_8,TRUNC(TRUNC(I24/4000)*4000)*KR_8-KJ_8,IF(I24&gt;=KS_7,TRUNC(TRUNC(I24/4000)*4000)*KR_7-KJ_7,IF(I24&gt;=KS_1,I24-KJ_1,IF(I24&gt;=KS_0,0,0))))))</f>
        <v>0</v>
      </c>
      <c r="BJ19" s="16">
        <f t="shared" si="4"/>
        <v>0</v>
      </c>
      <c r="BK19" s="16">
        <f t="shared" si="24"/>
        <v>0</v>
      </c>
      <c r="BL19" s="16">
        <f t="shared" si="6"/>
        <v>0</v>
      </c>
      <c r="BM19" s="7" t="str">
        <f t="shared" si="7"/>
        <v/>
      </c>
      <c r="BN19" s="7" t="str">
        <f t="shared" si="8"/>
        <v/>
      </c>
      <c r="BO19" s="7" t="str">
        <f t="shared" si="9"/>
        <v/>
      </c>
      <c r="BP19" s="7" t="str">
        <f t="shared" si="10"/>
        <v/>
      </c>
      <c r="BQ19" s="7" t="str">
        <f t="shared" si="11"/>
        <v/>
      </c>
      <c r="BR19" s="7" t="str">
        <f>IF(B24=AGE_2,IF(AC24="",KG_KIN,0),"")</f>
        <v/>
      </c>
      <c r="BS19" s="7" t="str">
        <f>IF(B24=AGE_0,"",IF(AC24="",TRUNC(BD19*IR_SAN),0))</f>
        <v/>
      </c>
      <c r="BT19" s="7"/>
      <c r="BU19" s="7" t="str">
        <f>IF(B24=AGE_0,"",IF(AC24="",TRUNC(BD19*SI_SAN),0))</f>
        <v/>
      </c>
      <c r="BV19" s="7"/>
      <c r="BW19" s="7" t="str">
        <f>IF(B24=AGE_2,IF(AC24="",TRUNC(BD19*KG_SAN),0),"")</f>
        <v/>
      </c>
      <c r="BX19" s="7"/>
      <c r="BY19" s="7" t="str">
        <f t="shared" si="15"/>
        <v/>
      </c>
      <c r="BZ19" s="7">
        <f t="shared" si="19"/>
        <v>0</v>
      </c>
      <c r="CA19" s="7">
        <f t="shared" si="20"/>
        <v>0</v>
      </c>
      <c r="CB19" s="7" t="str">
        <f>IF(B24=AGE_0,"",IF(AC24="",TRUNC(BD19*KD_SAN),0))</f>
        <v/>
      </c>
      <c r="CC19" s="7"/>
      <c r="CD19" s="21" t="s">
        <v>127</v>
      </c>
      <c r="CJ19" s="4"/>
    </row>
    <row r="20" spans="1:88" ht="18.899999999999999" customHeight="1" x14ac:dyDescent="0.2">
      <c r="A20" s="44" t="s">
        <v>90</v>
      </c>
      <c r="B20" s="54"/>
      <c r="C20" s="55"/>
      <c r="D20" s="55"/>
      <c r="E20" s="55"/>
      <c r="F20" s="55"/>
      <c r="G20" s="55"/>
      <c r="H20" s="56"/>
      <c r="I20" s="60"/>
      <c r="J20" s="61"/>
      <c r="K20" s="61"/>
      <c r="L20" s="61"/>
      <c r="M20" s="61"/>
      <c r="N20" s="62"/>
      <c r="O20" s="60"/>
      <c r="P20" s="61"/>
      <c r="Q20" s="61"/>
      <c r="R20" s="61"/>
      <c r="S20" s="61"/>
      <c r="T20" s="62"/>
      <c r="U20" s="76"/>
      <c r="V20" s="76"/>
      <c r="W20" s="76"/>
      <c r="X20" s="76"/>
      <c r="Y20" s="76"/>
      <c r="Z20" s="76"/>
      <c r="AA20" s="104" t="s">
        <v>111</v>
      </c>
      <c r="AB20" s="105"/>
      <c r="AC20" s="78"/>
      <c r="AD20" s="78"/>
      <c r="AE20" s="36"/>
      <c r="AF20" s="86">
        <f>IF(BJ15-BK15&gt;0,BJ15-BK15,0)</f>
        <v>0</v>
      </c>
      <c r="AG20" s="86"/>
      <c r="AH20" s="86"/>
      <c r="AI20" s="86"/>
      <c r="AJ20" s="86"/>
      <c r="AK20" s="87"/>
      <c r="AL20" s="86">
        <f t="shared" si="21"/>
        <v>0</v>
      </c>
      <c r="AM20" s="86"/>
      <c r="AN20" s="86"/>
      <c r="AO20" s="86"/>
      <c r="AP20" s="86"/>
      <c r="AQ20" s="87"/>
      <c r="AR20" s="86">
        <f t="shared" si="22"/>
        <v>0</v>
      </c>
      <c r="AS20" s="86"/>
      <c r="AT20" s="86"/>
      <c r="AU20" s="86"/>
      <c r="AV20" s="86"/>
      <c r="AW20" s="87"/>
      <c r="AX20" s="86">
        <f t="shared" si="23"/>
        <v>0</v>
      </c>
      <c r="AY20" s="86"/>
      <c r="AZ20" s="86"/>
      <c r="BA20" s="86"/>
      <c r="BB20" s="86"/>
      <c r="BC20" s="87"/>
      <c r="BD20" s="3"/>
      <c r="BE20" s="15">
        <f>IF(I25&gt;550000,1,0)</f>
        <v>0</v>
      </c>
      <c r="BF20" s="15">
        <f>IF(B25=AGE_3,IF(O25&gt;1250000,1,0),IF(O25&gt;600000,1,0))</f>
        <v>0</v>
      </c>
      <c r="BG20" s="15">
        <f t="shared" si="17"/>
        <v>0</v>
      </c>
      <c r="BH20" s="15">
        <f t="shared" si="2"/>
        <v>0</v>
      </c>
      <c r="BI20" s="16">
        <f>IF(I25&gt;=KS_10,I25-KJ_10,IF(I25&gt;=KS_9,TRUNC(I25*KR_9-KJ_9),IF(I25&gt;=KS_8,TRUNC(TRUNC(I25/4000)*4000)*KR_8-KJ_8,IF(I25&gt;=KS_7,TRUNC(TRUNC(I25/4000)*4000)*KR_7-KJ_7,IF(I25&gt;=KS_1,I25-KJ_1,IF(I25&gt;=KS_0,0,0))))))</f>
        <v>0</v>
      </c>
      <c r="BJ20" s="16">
        <f t="shared" si="4"/>
        <v>0</v>
      </c>
      <c r="BK20" s="16">
        <f t="shared" si="24"/>
        <v>0</v>
      </c>
      <c r="BL20" s="16">
        <f t="shared" si="6"/>
        <v>0</v>
      </c>
      <c r="BM20" s="7" t="str">
        <f t="shared" si="7"/>
        <v/>
      </c>
      <c r="BN20" s="7" t="str">
        <f t="shared" si="8"/>
        <v/>
      </c>
      <c r="BO20" s="7" t="str">
        <f t="shared" si="9"/>
        <v/>
      </c>
      <c r="BP20" s="7" t="str">
        <f t="shared" si="10"/>
        <v/>
      </c>
      <c r="BQ20" s="7" t="str">
        <f t="shared" si="11"/>
        <v/>
      </c>
      <c r="BR20" s="7" t="str">
        <f>IF(B25=AGE_2,IF(AC25="",KG_KIN,0),"")</f>
        <v/>
      </c>
      <c r="BS20" s="7" t="str">
        <f>IF(B25=AGE_0,"",IF(AC25="",TRUNC(BD20*IR_SAN),0))</f>
        <v/>
      </c>
      <c r="BT20" s="7"/>
      <c r="BU20" s="7" t="str">
        <f>IF(B25=AGE_0,"",IF(AC25="",TRUNC(BD20*SI_SAN),0))</f>
        <v/>
      </c>
      <c r="BV20" s="7"/>
      <c r="BW20" s="7" t="str">
        <f>IF(B25=AGE_2,IF(AC25="",TRUNC(BD20*KG_SAN),0),"")</f>
        <v/>
      </c>
      <c r="BX20" s="7"/>
      <c r="BY20" s="7" t="str">
        <f t="shared" si="15"/>
        <v/>
      </c>
      <c r="BZ20" s="7">
        <f t="shared" si="19"/>
        <v>0</v>
      </c>
      <c r="CA20" s="7">
        <f t="shared" si="20"/>
        <v>0</v>
      </c>
      <c r="CB20" s="7" t="str">
        <f>IF(B25=AGE_0,"",IF(AC25="",TRUNC(BD20*KD_SAN),0))</f>
        <v/>
      </c>
      <c r="CC20" s="7"/>
      <c r="CD20" s="21"/>
      <c r="CG20" s="13" t="s">
        <v>43</v>
      </c>
      <c r="CJ20" s="4"/>
    </row>
    <row r="21" spans="1:88" ht="18.899999999999999" customHeight="1" x14ac:dyDescent="0.2">
      <c r="A21" s="44" t="s">
        <v>91</v>
      </c>
      <c r="B21" s="54"/>
      <c r="C21" s="55"/>
      <c r="D21" s="55"/>
      <c r="E21" s="55"/>
      <c r="F21" s="55"/>
      <c r="G21" s="55"/>
      <c r="H21" s="56"/>
      <c r="I21" s="60"/>
      <c r="J21" s="61"/>
      <c r="K21" s="61"/>
      <c r="L21" s="61"/>
      <c r="M21" s="61"/>
      <c r="N21" s="62"/>
      <c r="O21" s="60"/>
      <c r="P21" s="61"/>
      <c r="Q21" s="61"/>
      <c r="R21" s="61"/>
      <c r="S21" s="61"/>
      <c r="T21" s="62"/>
      <c r="U21" s="76"/>
      <c r="V21" s="76"/>
      <c r="W21" s="76"/>
      <c r="X21" s="76"/>
      <c r="Y21" s="76"/>
      <c r="Z21" s="76"/>
      <c r="AA21" s="104" t="s">
        <v>111</v>
      </c>
      <c r="AB21" s="105"/>
      <c r="AC21" s="78"/>
      <c r="AD21" s="78"/>
      <c r="AE21" s="36"/>
      <c r="AF21" s="86">
        <f>IF(BJ16-BK16&gt;0,BJ16-BK16,0)</f>
        <v>0</v>
      </c>
      <c r="AG21" s="86"/>
      <c r="AH21" s="86"/>
      <c r="AI21" s="86"/>
      <c r="AJ21" s="86"/>
      <c r="AK21" s="87"/>
      <c r="AL21" s="86">
        <f t="shared" si="21"/>
        <v>0</v>
      </c>
      <c r="AM21" s="86"/>
      <c r="AN21" s="86"/>
      <c r="AO21" s="86"/>
      <c r="AP21" s="86"/>
      <c r="AQ21" s="87"/>
      <c r="AR21" s="86">
        <f t="shared" si="22"/>
        <v>0</v>
      </c>
      <c r="AS21" s="86"/>
      <c r="AT21" s="86"/>
      <c r="AU21" s="86"/>
      <c r="AV21" s="86"/>
      <c r="AW21" s="87"/>
      <c r="AX21" s="86">
        <f t="shared" si="23"/>
        <v>0</v>
      </c>
      <c r="AY21" s="86"/>
      <c r="AZ21" s="86"/>
      <c r="BA21" s="86"/>
      <c r="BB21" s="86"/>
      <c r="BC21" s="87"/>
      <c r="BD21" s="3"/>
      <c r="BE21" s="3"/>
      <c r="BF21" s="3"/>
      <c r="BG21" s="3"/>
      <c r="BH21" s="3"/>
      <c r="BI21" s="3"/>
      <c r="BJ21" s="3"/>
      <c r="BT21" s="7">
        <f>IF(SUM(BN13:BN20)&gt;0,IR_BYO,0)</f>
        <v>0</v>
      </c>
      <c r="BV21" s="7">
        <f>IF(SUM(BP13:BP20)&gt;0,SI_BYO,0)</f>
        <v>0</v>
      </c>
      <c r="BX21" s="7">
        <f>IF(SUM(BR13:BR20)&gt;0,KG_BYO,0)</f>
        <v>0</v>
      </c>
      <c r="CC21" s="7">
        <f>IF(SUM(BN13:BN20)&gt;0,KD_BYO,0)</f>
        <v>0</v>
      </c>
      <c r="CD21" s="21"/>
      <c r="CG21" s="14">
        <v>0</v>
      </c>
      <c r="CH21" s="14"/>
      <c r="CI21" s="14">
        <v>600000</v>
      </c>
      <c r="CJ21" s="4"/>
    </row>
    <row r="22" spans="1:88" ht="18.899999999999999" customHeight="1" x14ac:dyDescent="0.2">
      <c r="A22" s="44" t="s">
        <v>92</v>
      </c>
      <c r="B22" s="54"/>
      <c r="C22" s="55"/>
      <c r="D22" s="55"/>
      <c r="E22" s="55"/>
      <c r="F22" s="55"/>
      <c r="G22" s="55"/>
      <c r="H22" s="56"/>
      <c r="I22" s="60"/>
      <c r="J22" s="61"/>
      <c r="K22" s="61"/>
      <c r="L22" s="61"/>
      <c r="M22" s="61"/>
      <c r="N22" s="62"/>
      <c r="O22" s="60"/>
      <c r="P22" s="61"/>
      <c r="Q22" s="61"/>
      <c r="R22" s="61"/>
      <c r="S22" s="61"/>
      <c r="T22" s="62"/>
      <c r="U22" s="76"/>
      <c r="V22" s="76"/>
      <c r="W22" s="76"/>
      <c r="X22" s="76"/>
      <c r="Y22" s="76"/>
      <c r="Z22" s="76"/>
      <c r="AA22" s="104" t="s">
        <v>111</v>
      </c>
      <c r="AB22" s="105"/>
      <c r="AC22" s="78"/>
      <c r="AD22" s="78"/>
      <c r="AE22" s="36"/>
      <c r="AF22" s="86">
        <f>IF(BJ17-BK17&gt;0,BJ17-BK17,0)</f>
        <v>0</v>
      </c>
      <c r="AG22" s="86"/>
      <c r="AH22" s="86"/>
      <c r="AI22" s="86"/>
      <c r="AJ22" s="86"/>
      <c r="AK22" s="87"/>
      <c r="AL22" s="86">
        <f t="shared" si="21"/>
        <v>0</v>
      </c>
      <c r="AM22" s="86"/>
      <c r="AN22" s="86"/>
      <c r="AO22" s="86"/>
      <c r="AP22" s="86"/>
      <c r="AQ22" s="87"/>
      <c r="AR22" s="86">
        <f t="shared" si="22"/>
        <v>0</v>
      </c>
      <c r="AS22" s="86"/>
      <c r="AT22" s="86"/>
      <c r="AU22" s="86"/>
      <c r="AV22" s="86"/>
      <c r="AW22" s="87"/>
      <c r="AX22" s="86">
        <f t="shared" si="23"/>
        <v>0</v>
      </c>
      <c r="AY22" s="86"/>
      <c r="AZ22" s="86"/>
      <c r="BA22" s="86"/>
      <c r="BB22" s="86"/>
      <c r="BC22" s="87"/>
      <c r="BD22" s="3"/>
      <c r="BE22" s="3"/>
      <c r="BF22" s="3"/>
      <c r="BG22" s="3"/>
      <c r="BH22" s="3"/>
      <c r="BI22" s="3"/>
      <c r="BJ22" s="3"/>
      <c r="BM22" s="4" t="s">
        <v>19</v>
      </c>
      <c r="BN22" s="4" t="s">
        <v>41</v>
      </c>
      <c r="CD22" s="21"/>
      <c r="CG22" s="14">
        <v>1300000</v>
      </c>
      <c r="CH22" s="14">
        <v>0.75</v>
      </c>
      <c r="CI22" s="14">
        <v>275000</v>
      </c>
      <c r="CJ22" s="4"/>
    </row>
    <row r="23" spans="1:88" ht="18.899999999999999" customHeight="1" x14ac:dyDescent="0.2">
      <c r="A23" s="44" t="s">
        <v>93</v>
      </c>
      <c r="B23" s="54"/>
      <c r="C23" s="55"/>
      <c r="D23" s="55"/>
      <c r="E23" s="55"/>
      <c r="F23" s="55"/>
      <c r="G23" s="55"/>
      <c r="H23" s="56"/>
      <c r="I23" s="60"/>
      <c r="J23" s="61"/>
      <c r="K23" s="61"/>
      <c r="L23" s="61"/>
      <c r="M23" s="61"/>
      <c r="N23" s="62"/>
      <c r="O23" s="60"/>
      <c r="P23" s="61"/>
      <c r="Q23" s="61"/>
      <c r="R23" s="61"/>
      <c r="S23" s="61"/>
      <c r="T23" s="62"/>
      <c r="U23" s="76"/>
      <c r="V23" s="76"/>
      <c r="W23" s="76"/>
      <c r="X23" s="76"/>
      <c r="Y23" s="76"/>
      <c r="Z23" s="76"/>
      <c r="AA23" s="104" t="s">
        <v>111</v>
      </c>
      <c r="AB23" s="105"/>
      <c r="AC23" s="78"/>
      <c r="AD23" s="78"/>
      <c r="AE23" s="36"/>
      <c r="AF23" s="86">
        <f t="shared" ref="AF23:AF25" si="25">IF(BJ18-BK18&gt;0,BJ18-BK18,0)</f>
        <v>0</v>
      </c>
      <c r="AG23" s="86"/>
      <c r="AH23" s="86"/>
      <c r="AI23" s="86"/>
      <c r="AJ23" s="86"/>
      <c r="AK23" s="87"/>
      <c r="AL23" s="86">
        <f t="shared" si="21"/>
        <v>0</v>
      </c>
      <c r="AM23" s="86"/>
      <c r="AN23" s="86"/>
      <c r="AO23" s="86"/>
      <c r="AP23" s="86"/>
      <c r="AQ23" s="87"/>
      <c r="AR23" s="86">
        <f t="shared" si="22"/>
        <v>0</v>
      </c>
      <c r="AS23" s="86"/>
      <c r="AT23" s="86"/>
      <c r="AU23" s="86"/>
      <c r="AV23" s="86"/>
      <c r="AW23" s="87"/>
      <c r="AX23" s="86">
        <f t="shared" si="23"/>
        <v>0</v>
      </c>
      <c r="AY23" s="86"/>
      <c r="AZ23" s="86"/>
      <c r="BA23" s="86"/>
      <c r="BB23" s="86"/>
      <c r="BC23" s="87"/>
      <c r="BD23" s="3"/>
      <c r="BE23" s="3"/>
      <c r="BF23" s="3"/>
      <c r="BG23" s="3"/>
      <c r="BH23" s="3"/>
      <c r="BI23" s="3"/>
      <c r="BJ23" s="3"/>
      <c r="BM23" s="7">
        <f>SUM(BH13:BH20)</f>
        <v>0</v>
      </c>
      <c r="BN23" s="7">
        <f>IF(SUM(BG13:BG20)=0,1,SUM(BG13:BG20))</f>
        <v>1</v>
      </c>
      <c r="CD23" s="22"/>
      <c r="CG23" s="14">
        <v>4100000</v>
      </c>
      <c r="CH23" s="14">
        <v>0.85</v>
      </c>
      <c r="CI23" s="14">
        <v>685000</v>
      </c>
    </row>
    <row r="24" spans="1:88" ht="18.899999999999999" customHeight="1" x14ac:dyDescent="0.2">
      <c r="A24" s="44" t="s">
        <v>94</v>
      </c>
      <c r="B24" s="54"/>
      <c r="C24" s="55"/>
      <c r="D24" s="55"/>
      <c r="E24" s="55"/>
      <c r="F24" s="55"/>
      <c r="G24" s="55"/>
      <c r="H24" s="56"/>
      <c r="I24" s="60"/>
      <c r="J24" s="61"/>
      <c r="K24" s="61"/>
      <c r="L24" s="61"/>
      <c r="M24" s="61"/>
      <c r="N24" s="62"/>
      <c r="O24" s="60"/>
      <c r="P24" s="61"/>
      <c r="Q24" s="61"/>
      <c r="R24" s="61"/>
      <c r="S24" s="61"/>
      <c r="T24" s="62"/>
      <c r="U24" s="76"/>
      <c r="V24" s="76"/>
      <c r="W24" s="76"/>
      <c r="X24" s="76"/>
      <c r="Y24" s="76"/>
      <c r="Z24" s="76"/>
      <c r="AA24" s="104" t="s">
        <v>111</v>
      </c>
      <c r="AB24" s="105"/>
      <c r="AC24" s="78"/>
      <c r="AD24" s="78"/>
      <c r="AE24" s="36"/>
      <c r="AF24" s="86">
        <f t="shared" si="25"/>
        <v>0</v>
      </c>
      <c r="AG24" s="86"/>
      <c r="AH24" s="86"/>
      <c r="AI24" s="86"/>
      <c r="AJ24" s="86"/>
      <c r="AK24" s="87"/>
      <c r="AL24" s="86">
        <f t="shared" si="21"/>
        <v>0</v>
      </c>
      <c r="AM24" s="86"/>
      <c r="AN24" s="86"/>
      <c r="AO24" s="86"/>
      <c r="AP24" s="86"/>
      <c r="AQ24" s="87"/>
      <c r="AR24" s="86">
        <f t="shared" si="22"/>
        <v>0</v>
      </c>
      <c r="AS24" s="86"/>
      <c r="AT24" s="86"/>
      <c r="AU24" s="86"/>
      <c r="AV24" s="86"/>
      <c r="AW24" s="87"/>
      <c r="AX24" s="86">
        <f t="shared" si="23"/>
        <v>0</v>
      </c>
      <c r="AY24" s="86"/>
      <c r="AZ24" s="86"/>
      <c r="BA24" s="86"/>
      <c r="BB24" s="86"/>
      <c r="BC24" s="87"/>
      <c r="BD24" s="3"/>
      <c r="BE24" s="3"/>
      <c r="BF24" s="3"/>
      <c r="BG24" s="3"/>
      <c r="BH24" s="3"/>
      <c r="BI24" s="3"/>
      <c r="BJ24" s="3"/>
      <c r="BM24" s="4" t="s">
        <v>20</v>
      </c>
      <c r="BN24" s="4" t="s">
        <v>21</v>
      </c>
      <c r="BO24" s="4" t="s">
        <v>25</v>
      </c>
      <c r="CG24" s="14">
        <v>7700000</v>
      </c>
      <c r="CH24" s="14">
        <v>0.95</v>
      </c>
      <c r="CI24" s="14">
        <v>1455000</v>
      </c>
    </row>
    <row r="25" spans="1:88" ht="18.899999999999999" customHeight="1" thickBot="1" x14ac:dyDescent="0.25">
      <c r="A25" s="44" t="s">
        <v>95</v>
      </c>
      <c r="B25" s="101"/>
      <c r="C25" s="102"/>
      <c r="D25" s="102"/>
      <c r="E25" s="102"/>
      <c r="F25" s="102"/>
      <c r="G25" s="102"/>
      <c r="H25" s="103"/>
      <c r="I25" s="95"/>
      <c r="J25" s="96"/>
      <c r="K25" s="96"/>
      <c r="L25" s="96"/>
      <c r="M25" s="96"/>
      <c r="N25" s="97"/>
      <c r="O25" s="95"/>
      <c r="P25" s="96"/>
      <c r="Q25" s="96"/>
      <c r="R25" s="96"/>
      <c r="S25" s="96"/>
      <c r="T25" s="97"/>
      <c r="U25" s="94"/>
      <c r="V25" s="94"/>
      <c r="W25" s="94"/>
      <c r="X25" s="94"/>
      <c r="Y25" s="94"/>
      <c r="Z25" s="94"/>
      <c r="AA25" s="106" t="s">
        <v>111</v>
      </c>
      <c r="AB25" s="107"/>
      <c r="AC25" s="78"/>
      <c r="AD25" s="78"/>
      <c r="AE25" s="36"/>
      <c r="AF25" s="86">
        <f t="shared" si="25"/>
        <v>0</v>
      </c>
      <c r="AG25" s="86"/>
      <c r="AH25" s="86"/>
      <c r="AI25" s="86"/>
      <c r="AJ25" s="86"/>
      <c r="AK25" s="87"/>
      <c r="AL25" s="86">
        <f t="shared" si="21"/>
        <v>0</v>
      </c>
      <c r="AM25" s="86"/>
      <c r="AN25" s="86"/>
      <c r="AO25" s="86"/>
      <c r="AP25" s="86"/>
      <c r="AQ25" s="87"/>
      <c r="AR25" s="86">
        <f t="shared" si="22"/>
        <v>0</v>
      </c>
      <c r="AS25" s="86"/>
      <c r="AT25" s="86"/>
      <c r="AU25" s="86"/>
      <c r="AV25" s="86"/>
      <c r="AW25" s="87"/>
      <c r="AX25" s="86">
        <f t="shared" si="23"/>
        <v>0</v>
      </c>
      <c r="AY25" s="86"/>
      <c r="AZ25" s="86"/>
      <c r="BA25" s="86"/>
      <c r="BB25" s="86"/>
      <c r="BC25" s="87"/>
      <c r="BD25" s="3"/>
      <c r="BE25" s="3"/>
      <c r="BF25" s="3"/>
      <c r="BG25" s="3"/>
      <c r="BH25" s="3"/>
      <c r="BI25" s="3"/>
      <c r="BJ25" s="3"/>
      <c r="BL25" s="2" t="s">
        <v>57</v>
      </c>
      <c r="BM25" s="46">
        <f>IF(SUM(BN13:BN20)&gt;0,430000+(100000*(BN23-1)),0)</f>
        <v>0</v>
      </c>
      <c r="BN25" s="46" t="b">
        <f>IF(SUM(BN13:BN20)&gt;0,BM23*310000+430000+(100000*(BN23-1)))</f>
        <v>0</v>
      </c>
      <c r="BO25" s="46" t="b">
        <f>IF(SUM(BN13:BN20)&gt;0,BM23*570000+430000+(100000*(BN23-1)))</f>
        <v>0</v>
      </c>
      <c r="CG25" s="14">
        <v>10000000</v>
      </c>
      <c r="CH25" s="14"/>
      <c r="CI25" s="14">
        <v>1955000</v>
      </c>
    </row>
    <row r="26" spans="1:88" ht="18.899999999999999" customHeight="1" thickTop="1" x14ac:dyDescent="0.2">
      <c r="AF26" s="3" t="s">
        <v>53</v>
      </c>
      <c r="AJ26" s="3"/>
      <c r="AK26" s="3"/>
      <c r="AL26" s="3" t="s">
        <v>40</v>
      </c>
      <c r="AM26" s="3"/>
      <c r="AN26" s="3"/>
      <c r="AO26" s="3"/>
      <c r="AP26" s="3"/>
      <c r="AQ26" s="3"/>
      <c r="AR26" s="3"/>
      <c r="AS26" s="3"/>
      <c r="AT26" s="3"/>
      <c r="AU26" s="3"/>
      <c r="AV26" s="3"/>
      <c r="AW26" s="3"/>
      <c r="AX26" s="3"/>
      <c r="AY26" s="3"/>
      <c r="AZ26" s="3"/>
      <c r="BA26" s="3"/>
      <c r="BB26" s="3"/>
      <c r="BC26" s="3"/>
      <c r="BD26" s="3"/>
      <c r="BE26" s="3"/>
      <c r="BF26" s="3"/>
      <c r="BG26" s="3"/>
      <c r="BH26" s="3"/>
      <c r="BI26" s="3"/>
      <c r="BJ26" s="3"/>
      <c r="BL26" s="2" t="s">
        <v>56</v>
      </c>
      <c r="BM26" s="7" t="str">
        <f>IF(BM23&gt;0,IF(BM27&lt;=BM25,"７割",IF(BM27&lt;=BN25,"５割",IF(BM27&lt;=BO25,"２割",""))),"")</f>
        <v/>
      </c>
      <c r="CC26" s="4" t="s">
        <v>59</v>
      </c>
      <c r="CD26" s="2" t="s">
        <v>60</v>
      </c>
      <c r="CG26" s="14">
        <v>0</v>
      </c>
      <c r="CH26" s="14"/>
      <c r="CI26" s="14">
        <v>1100000</v>
      </c>
    </row>
    <row r="27" spans="1:88" ht="18.899999999999999" customHeight="1" x14ac:dyDescent="0.2">
      <c r="B27" s="9"/>
      <c r="C27" s="6"/>
      <c r="D27" s="6"/>
      <c r="AJ27" s="1"/>
      <c r="AK27" s="1"/>
      <c r="AL27" s="1"/>
      <c r="AM27" s="1"/>
      <c r="AN27" s="1"/>
      <c r="AO27" s="1"/>
      <c r="AP27" s="1"/>
      <c r="AQ27" s="1"/>
      <c r="AR27" s="1"/>
      <c r="AS27" s="1"/>
      <c r="AT27" s="1"/>
      <c r="AU27" s="1"/>
      <c r="AV27" s="1"/>
      <c r="AW27" s="1"/>
      <c r="AX27" s="1"/>
      <c r="AY27" s="1"/>
      <c r="AZ27" s="1"/>
      <c r="BA27" s="1"/>
      <c r="BB27" s="1"/>
      <c r="BC27" s="3"/>
      <c r="BD27" s="3"/>
      <c r="BE27" s="3"/>
      <c r="BF27" s="3"/>
      <c r="BG27" s="3"/>
      <c r="BH27" s="3"/>
      <c r="BI27" s="3"/>
      <c r="BJ27" s="3"/>
      <c r="BL27" s="19" t="s">
        <v>55</v>
      </c>
      <c r="BM27" s="11">
        <f>SUM(BL13:BL20)</f>
        <v>0</v>
      </c>
      <c r="BN27" s="10"/>
      <c r="CB27" s="4" t="s">
        <v>26</v>
      </c>
      <c r="CC27" s="4" t="s">
        <v>27</v>
      </c>
      <c r="CD27" s="47">
        <v>7.6399999999999996E-2</v>
      </c>
      <c r="CG27" s="14">
        <v>3300000</v>
      </c>
      <c r="CH27" s="14">
        <v>0.75</v>
      </c>
      <c r="CI27" s="14">
        <v>275000</v>
      </c>
    </row>
    <row r="28" spans="1:88" ht="18.899999999999999" customHeight="1" x14ac:dyDescent="0.2">
      <c r="B28" s="6"/>
      <c r="C28" s="6"/>
      <c r="D28" s="6"/>
      <c r="AJ28" s="12"/>
      <c r="AK28" s="12"/>
      <c r="AL28" s="12"/>
      <c r="AM28" s="12"/>
      <c r="AN28" s="12"/>
      <c r="AO28" s="12"/>
      <c r="AP28" s="12"/>
      <c r="AQ28" s="12"/>
      <c r="AR28" s="12"/>
      <c r="AS28" s="12"/>
      <c r="AT28" s="12"/>
      <c r="AU28" s="12"/>
      <c r="AV28" s="12"/>
      <c r="AW28" s="12"/>
      <c r="AX28" s="12"/>
      <c r="AY28" s="12"/>
      <c r="AZ28" s="12"/>
      <c r="BA28" s="12"/>
      <c r="BB28" s="12"/>
      <c r="BC28" s="3"/>
      <c r="BD28" s="3"/>
      <c r="BE28" s="3"/>
      <c r="BF28" s="3"/>
      <c r="BG28" s="3"/>
      <c r="BH28" s="3"/>
      <c r="BI28" s="3"/>
      <c r="BJ28" s="3"/>
      <c r="BL28" s="2" t="s">
        <v>56</v>
      </c>
      <c r="BM28" s="4">
        <f>IF(BM26="",1,VLOOKUP(BM26,$BM$29:$BN$32,2,FALSE))</f>
        <v>1</v>
      </c>
      <c r="CC28" s="4" t="s">
        <v>31</v>
      </c>
      <c r="CD28" s="47">
        <v>0</v>
      </c>
      <c r="CG28" s="14">
        <v>4100000</v>
      </c>
      <c r="CH28" s="14">
        <v>0.85</v>
      </c>
      <c r="CI28" s="14">
        <v>685000</v>
      </c>
    </row>
    <row r="29" spans="1:88" ht="18.899999999999999" customHeight="1" x14ac:dyDescent="0.2">
      <c r="B29" s="9"/>
      <c r="C29" s="6"/>
      <c r="D29" s="6"/>
      <c r="AJ29" s="12"/>
      <c r="AK29" s="12"/>
      <c r="AL29" s="12"/>
      <c r="AM29" s="12"/>
      <c r="AN29" s="12"/>
      <c r="AO29" s="12"/>
      <c r="AP29" s="12"/>
      <c r="AQ29" s="12"/>
      <c r="AR29" s="12"/>
      <c r="AS29" s="12"/>
      <c r="AT29" s="12"/>
      <c r="AU29" s="12"/>
      <c r="AV29" s="12"/>
      <c r="AW29" s="12"/>
      <c r="AX29" s="12"/>
      <c r="AY29" s="12"/>
      <c r="AZ29" s="12"/>
      <c r="BA29" s="12"/>
      <c r="BB29" s="12"/>
      <c r="BC29" s="3"/>
      <c r="BD29" s="3"/>
      <c r="BE29" s="3"/>
      <c r="BF29" s="3"/>
      <c r="BG29" s="3"/>
      <c r="BH29" s="3"/>
      <c r="BI29" s="3"/>
      <c r="BJ29" s="3"/>
      <c r="BM29" s="4" t="s">
        <v>22</v>
      </c>
      <c r="BN29" s="4">
        <v>0.3</v>
      </c>
      <c r="CC29" s="4" t="s">
        <v>30</v>
      </c>
      <c r="CD29" s="47">
        <v>43300</v>
      </c>
      <c r="CG29" s="14">
        <v>7700000</v>
      </c>
      <c r="CH29" s="14">
        <v>0.95</v>
      </c>
      <c r="CI29" s="14">
        <v>1455000</v>
      </c>
    </row>
    <row r="30" spans="1:88" ht="18.899999999999999" customHeight="1" thickBot="1" x14ac:dyDescent="0.25">
      <c r="B30" s="6"/>
      <c r="C30" s="6"/>
      <c r="D30" s="6"/>
      <c r="AJ30" s="12"/>
      <c r="AK30" s="12"/>
      <c r="AL30" s="12"/>
      <c r="AM30" s="12"/>
      <c r="AN30" s="12"/>
      <c r="AO30" s="12"/>
      <c r="AP30" s="12"/>
      <c r="AQ30" s="12"/>
      <c r="AR30" s="12"/>
      <c r="AS30" s="12"/>
      <c r="AT30" s="12"/>
      <c r="AU30" s="12"/>
      <c r="AV30" s="12"/>
      <c r="AW30" s="12"/>
      <c r="AX30" s="12"/>
      <c r="AY30" s="12"/>
      <c r="AZ30" s="12"/>
      <c r="BA30" s="12"/>
      <c r="BB30" s="12"/>
      <c r="BC30" s="3"/>
      <c r="BD30" s="3"/>
      <c r="BE30" s="3"/>
      <c r="BF30" s="3"/>
      <c r="BG30" s="3"/>
      <c r="BH30" s="3"/>
      <c r="BI30" s="3"/>
      <c r="BJ30" s="3"/>
      <c r="BM30" s="4" t="s">
        <v>23</v>
      </c>
      <c r="BN30" s="4">
        <v>0.5</v>
      </c>
      <c r="CC30" s="4" t="s">
        <v>32</v>
      </c>
      <c r="CD30" s="47">
        <v>0</v>
      </c>
      <c r="CG30" s="14">
        <v>10000000</v>
      </c>
      <c r="CH30" s="14"/>
      <c r="CI30" s="14">
        <v>1955000</v>
      </c>
    </row>
    <row r="31" spans="1:88" ht="30" customHeight="1" thickTop="1" thickBot="1" x14ac:dyDescent="0.25">
      <c r="C31" s="39"/>
      <c r="D31" s="39"/>
      <c r="E31" s="39"/>
      <c r="F31" s="39" t="s">
        <v>87</v>
      </c>
      <c r="G31" s="39"/>
      <c r="H31" s="39"/>
      <c r="I31" s="39"/>
      <c r="J31" s="39"/>
      <c r="K31" s="39"/>
      <c r="L31" s="39"/>
      <c r="M31" s="39"/>
      <c r="N31" s="39"/>
      <c r="O31" s="39"/>
      <c r="P31" s="39"/>
      <c r="Q31" s="40"/>
      <c r="R31" s="98">
        <f>IF(KANYU="","",$L$42+$Q$42+$V$42+$AA$42)</f>
        <v>0</v>
      </c>
      <c r="S31" s="99"/>
      <c r="T31" s="99"/>
      <c r="U31" s="99"/>
      <c r="V31" s="99"/>
      <c r="W31" s="100"/>
      <c r="Z31" s="24"/>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G31" s="3"/>
      <c r="BH31" s="3"/>
      <c r="BI31" s="3"/>
      <c r="BJ31" s="3"/>
      <c r="BM31" s="4" t="s">
        <v>24</v>
      </c>
      <c r="BN31" s="4">
        <v>0.8</v>
      </c>
      <c r="CC31" s="4" t="s">
        <v>73</v>
      </c>
      <c r="CD31" s="48">
        <v>670000</v>
      </c>
      <c r="CG31" s="4"/>
      <c r="CH31" s="4"/>
      <c r="CI31" s="4"/>
    </row>
    <row r="32" spans="1:88" ht="18.899999999999999" customHeight="1" thickTop="1" thickBot="1" x14ac:dyDescent="0.25">
      <c r="C32" s="30"/>
      <c r="D32" s="30"/>
      <c r="E32" s="30"/>
      <c r="F32" s="30"/>
      <c r="G32" s="30"/>
      <c r="H32" s="30"/>
      <c r="I32" s="30"/>
      <c r="J32" s="30"/>
      <c r="K32" s="30"/>
      <c r="L32" s="30"/>
      <c r="M32" s="30"/>
      <c r="N32" s="30"/>
      <c r="O32" s="30"/>
      <c r="P32" s="30"/>
      <c r="Q32" s="30"/>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G32" s="3"/>
      <c r="BH32" s="3"/>
      <c r="BI32" s="3"/>
      <c r="BJ32" s="3"/>
      <c r="CB32" s="4" t="s">
        <v>28</v>
      </c>
      <c r="CC32" s="4" t="s">
        <v>27</v>
      </c>
      <c r="CD32" s="47">
        <v>2.7300000000000001E-2</v>
      </c>
      <c r="CG32" s="13" t="s">
        <v>44</v>
      </c>
      <c r="CH32" s="4"/>
      <c r="CI32" s="4"/>
    </row>
    <row r="33" spans="2:87" ht="18.899999999999999" customHeight="1" thickTop="1" thickBot="1" x14ac:dyDescent="0.25">
      <c r="C33" s="39"/>
      <c r="D33" s="39"/>
      <c r="E33" s="39"/>
      <c r="F33" s="39" t="s">
        <v>104</v>
      </c>
      <c r="G33" s="39"/>
      <c r="H33" s="39"/>
      <c r="I33" s="39"/>
      <c r="J33" s="39"/>
      <c r="K33" s="39"/>
      <c r="L33" s="39"/>
      <c r="M33" s="39"/>
      <c r="N33" s="39"/>
      <c r="O33" s="39"/>
      <c r="P33" s="39"/>
      <c r="Q33" s="40"/>
      <c r="R33" s="91" t="str">
        <f>IF(KGN&lt;&gt;"",KGN&amp;"軽減","")</f>
        <v/>
      </c>
      <c r="S33" s="92"/>
      <c r="T33" s="92"/>
      <c r="U33" s="92"/>
      <c r="V33" s="92"/>
      <c r="W33" s="93"/>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L33" s="20" t="str">
        <f>"賦課限度額は、医療分："&amp;IR_GND/10000&amp;"万円 支援分："&amp;SI_GND/10000&amp;"万円 介護分："&amp;KG_GND/10000&amp;"万円 子ども分："&amp;KD_GND/10000&amp;"万円 です。"</f>
        <v>賦課限度額は、医療分：67万円 支援分：26万円 介護分：17万円 子ども分：3万円 です。</v>
      </c>
      <c r="CC33" s="4" t="s">
        <v>31</v>
      </c>
      <c r="CD33" s="47">
        <v>0</v>
      </c>
      <c r="CG33" s="14">
        <v>0</v>
      </c>
      <c r="CH33" s="14"/>
      <c r="CI33" s="14">
        <v>430000</v>
      </c>
    </row>
    <row r="34" spans="2:87" ht="18.899999999999999" customHeight="1" thickTop="1" x14ac:dyDescent="0.2">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CC34" s="4" t="s">
        <v>30</v>
      </c>
      <c r="CD34" s="47">
        <v>14900</v>
      </c>
      <c r="CG34" s="14">
        <v>24000001</v>
      </c>
      <c r="CH34" s="14"/>
      <c r="CI34" s="14">
        <v>290000</v>
      </c>
    </row>
    <row r="35" spans="2:87" ht="18.899999999999999" customHeight="1" x14ac:dyDescent="0.2">
      <c r="B35" s="29" t="s">
        <v>47</v>
      </c>
      <c r="C35" s="29"/>
      <c r="D35" s="29"/>
      <c r="E35" s="29"/>
      <c r="F35" s="29"/>
      <c r="G35" s="29"/>
      <c r="H35" s="29"/>
      <c r="I35" s="29"/>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L35" s="16" t="str">
        <f>CD26&amp;"年度分の国民健康保険税（１年分）"</f>
        <v>令和8年度分の国民健康保険税（１年分）</v>
      </c>
      <c r="CC35" s="4" t="s">
        <v>32</v>
      </c>
      <c r="CD35" s="47">
        <v>0</v>
      </c>
      <c r="CG35" s="14">
        <v>24500001</v>
      </c>
      <c r="CH35" s="14"/>
      <c r="CI35" s="14">
        <v>150000</v>
      </c>
    </row>
    <row r="36" spans="2:87" ht="18.899999999999999" customHeight="1" x14ac:dyDescent="0.2">
      <c r="B36" s="88" t="s">
        <v>10</v>
      </c>
      <c r="C36" s="89"/>
      <c r="D36" s="89"/>
      <c r="E36" s="89"/>
      <c r="F36" s="89"/>
      <c r="G36" s="89"/>
      <c r="H36" s="89"/>
      <c r="I36" s="89"/>
      <c r="J36" s="89"/>
      <c r="K36" s="90"/>
      <c r="L36" s="88" t="s">
        <v>11</v>
      </c>
      <c r="M36" s="89"/>
      <c r="N36" s="89"/>
      <c r="O36" s="89"/>
      <c r="P36" s="90"/>
      <c r="Q36" s="88" t="s">
        <v>82</v>
      </c>
      <c r="R36" s="89"/>
      <c r="S36" s="89"/>
      <c r="T36" s="89"/>
      <c r="U36" s="90"/>
      <c r="V36" s="88" t="s">
        <v>75</v>
      </c>
      <c r="W36" s="89"/>
      <c r="X36" s="89"/>
      <c r="Y36" s="89"/>
      <c r="Z36" s="90"/>
      <c r="AA36" s="88" t="s">
        <v>72</v>
      </c>
      <c r="AB36" s="89"/>
      <c r="AC36" s="89"/>
      <c r="AD36" s="89"/>
      <c r="AE36" s="89"/>
      <c r="AF36" s="90"/>
      <c r="AI36" s="33"/>
      <c r="AJ36" s="33"/>
      <c r="AK36" s="33"/>
      <c r="AL36" s="33"/>
      <c r="AM36" s="33"/>
      <c r="AN36" s="33"/>
      <c r="AO36" s="33"/>
      <c r="AP36" s="33"/>
      <c r="AQ36" s="33"/>
      <c r="AR36" s="33"/>
      <c r="AS36" s="33"/>
      <c r="AT36" s="33"/>
      <c r="AU36" s="33"/>
      <c r="AV36" s="33"/>
      <c r="AW36" s="33"/>
      <c r="CC36" s="4" t="s">
        <v>73</v>
      </c>
      <c r="CD36" s="48">
        <v>260000</v>
      </c>
      <c r="CG36" s="14">
        <v>25000001</v>
      </c>
      <c r="CH36" s="14"/>
      <c r="CI36" s="14">
        <v>0</v>
      </c>
    </row>
    <row r="37" spans="2:87" ht="18.899999999999999" customHeight="1" x14ac:dyDescent="0.2">
      <c r="B37" s="68" t="s">
        <v>12</v>
      </c>
      <c r="C37" s="69"/>
      <c r="D37" s="69"/>
      <c r="E37" s="69"/>
      <c r="F37" s="69"/>
      <c r="G37" s="69"/>
      <c r="H37" s="69"/>
      <c r="I37" s="69"/>
      <c r="J37" s="69"/>
      <c r="K37" s="70"/>
      <c r="L37" s="65">
        <f>IF(KANYU="","",SUM(BM13:BM20))</f>
        <v>0</v>
      </c>
      <c r="M37" s="66"/>
      <c r="N37" s="66"/>
      <c r="O37" s="67"/>
      <c r="P37" s="32" t="s">
        <v>9</v>
      </c>
      <c r="Q37" s="65">
        <f>IF(KANYU="","",SUM(BO13:BO20))</f>
        <v>0</v>
      </c>
      <c r="R37" s="66"/>
      <c r="S37" s="66"/>
      <c r="T37" s="67"/>
      <c r="U37" s="32" t="s">
        <v>9</v>
      </c>
      <c r="V37" s="65">
        <f>IF(KANYU="","",SUM(BQ13:BQ20))</f>
        <v>0</v>
      </c>
      <c r="W37" s="66"/>
      <c r="X37" s="66"/>
      <c r="Y37" s="67"/>
      <c r="Z37" s="32" t="s">
        <v>9</v>
      </c>
      <c r="AA37" s="65">
        <f>IF(KANYU="","",SUM(BY13:BY20))</f>
        <v>0</v>
      </c>
      <c r="AB37" s="66"/>
      <c r="AC37" s="66"/>
      <c r="AD37" s="67"/>
      <c r="AE37" s="32" t="s">
        <v>9</v>
      </c>
      <c r="AF37" s="32"/>
      <c r="AI37" s="33"/>
      <c r="AJ37" s="33"/>
      <c r="AK37" s="33"/>
      <c r="AL37" s="34"/>
      <c r="AM37" s="34"/>
      <c r="AN37" s="34"/>
      <c r="AO37" s="34"/>
      <c r="AP37" s="34"/>
      <c r="AQ37" s="34"/>
      <c r="AR37" s="34"/>
      <c r="AS37" s="34"/>
      <c r="AT37" s="34"/>
      <c r="AU37" s="34"/>
      <c r="AV37" s="34"/>
      <c r="AW37" s="34"/>
      <c r="CB37" s="4" t="s">
        <v>29</v>
      </c>
      <c r="CC37" s="4" t="s">
        <v>27</v>
      </c>
      <c r="CD37" s="47">
        <v>2.3699999999999999E-2</v>
      </c>
    </row>
    <row r="38" spans="2:87" ht="18.899999999999999" customHeight="1" x14ac:dyDescent="0.2">
      <c r="B38" s="68" t="s">
        <v>33</v>
      </c>
      <c r="C38" s="69"/>
      <c r="D38" s="69"/>
      <c r="E38" s="69"/>
      <c r="F38" s="69"/>
      <c r="G38" s="69"/>
      <c r="H38" s="69"/>
      <c r="I38" s="69"/>
      <c r="J38" s="69"/>
      <c r="K38" s="70"/>
      <c r="L38" s="65">
        <f>IF(KANYU="","",SUM(BN13:BN20)*BM28)</f>
        <v>0</v>
      </c>
      <c r="M38" s="66"/>
      <c r="N38" s="66"/>
      <c r="O38" s="67"/>
      <c r="P38" s="32" t="s">
        <v>9</v>
      </c>
      <c r="Q38" s="65">
        <f>IF(KANYU="","",SUM(BP13:BP20)*BM28)</f>
        <v>0</v>
      </c>
      <c r="R38" s="66"/>
      <c r="S38" s="66"/>
      <c r="T38" s="67"/>
      <c r="U38" s="32" t="s">
        <v>9</v>
      </c>
      <c r="V38" s="65">
        <f>IF(KANYU="","",SUM(BR13:BR20)*BM28)</f>
        <v>0</v>
      </c>
      <c r="W38" s="66"/>
      <c r="X38" s="66"/>
      <c r="Y38" s="67"/>
      <c r="Z38" s="32" t="s">
        <v>9</v>
      </c>
      <c r="AA38" s="65">
        <f>IF(KANYU="","",SUM(CA13:CA20)*BM28)</f>
        <v>0</v>
      </c>
      <c r="AB38" s="66"/>
      <c r="AC38" s="66"/>
      <c r="AD38" s="67"/>
      <c r="AE38" s="32" t="s">
        <v>9</v>
      </c>
      <c r="AF38" s="32"/>
      <c r="AI38" s="33"/>
      <c r="AJ38" s="33"/>
      <c r="AK38" s="33"/>
      <c r="AL38" s="33"/>
      <c r="AM38" s="33"/>
      <c r="AN38" s="33"/>
      <c r="AO38" s="33"/>
      <c r="AP38" s="33"/>
      <c r="AQ38" s="33"/>
      <c r="AR38" s="33"/>
      <c r="AS38" s="33"/>
      <c r="AT38" s="33"/>
      <c r="AU38" s="33"/>
      <c r="AV38" s="33"/>
      <c r="AW38" s="33"/>
      <c r="CC38" s="4" t="s">
        <v>31</v>
      </c>
      <c r="CD38" s="47">
        <v>0</v>
      </c>
    </row>
    <row r="39" spans="2:87" ht="18.899999999999999" customHeight="1" x14ac:dyDescent="0.2">
      <c r="B39" s="68" t="s">
        <v>34</v>
      </c>
      <c r="C39" s="69"/>
      <c r="D39" s="69"/>
      <c r="E39" s="69"/>
      <c r="F39" s="69"/>
      <c r="G39" s="69"/>
      <c r="H39" s="69"/>
      <c r="I39" s="69"/>
      <c r="J39" s="69"/>
      <c r="K39" s="70"/>
      <c r="L39" s="65">
        <f>IF(KANYU="","",TRUNC(L37+L38,-2))</f>
        <v>0</v>
      </c>
      <c r="M39" s="66"/>
      <c r="N39" s="66"/>
      <c r="O39" s="67"/>
      <c r="P39" s="32" t="s">
        <v>9</v>
      </c>
      <c r="Q39" s="65">
        <f>IF(KANYU="","",TRUNC(Q37+Q38,-2))</f>
        <v>0</v>
      </c>
      <c r="R39" s="66"/>
      <c r="S39" s="66"/>
      <c r="T39" s="67"/>
      <c r="U39" s="32" t="s">
        <v>9</v>
      </c>
      <c r="V39" s="65">
        <f>IF(KANYU="","",TRUNC(V37+V38,-2))</f>
        <v>0</v>
      </c>
      <c r="W39" s="66"/>
      <c r="X39" s="66"/>
      <c r="Y39" s="67"/>
      <c r="Z39" s="32" t="s">
        <v>9</v>
      </c>
      <c r="AA39" s="65">
        <f>IF(KANYU="","",TRUNC(AA37+AA38,-2))</f>
        <v>0</v>
      </c>
      <c r="AB39" s="66"/>
      <c r="AC39" s="66"/>
      <c r="AD39" s="67"/>
      <c r="AE39" s="32" t="s">
        <v>9</v>
      </c>
      <c r="AF39" s="32"/>
      <c r="AI39" s="33"/>
      <c r="AJ39" s="33"/>
      <c r="AK39" s="33"/>
      <c r="AL39" s="33"/>
      <c r="AM39" s="33"/>
      <c r="AN39" s="33"/>
      <c r="AO39" s="33"/>
      <c r="AP39" s="33"/>
      <c r="AQ39" s="33"/>
      <c r="AR39" s="33"/>
      <c r="AS39" s="33"/>
      <c r="AT39" s="33"/>
      <c r="AU39" s="33"/>
      <c r="AV39" s="33"/>
      <c r="AW39" s="33"/>
      <c r="CC39" s="4" t="s">
        <v>30</v>
      </c>
      <c r="CD39" s="47">
        <v>16100</v>
      </c>
    </row>
    <row r="40" spans="2:87" ht="18.899999999999999" customHeight="1" x14ac:dyDescent="0.2">
      <c r="B40" s="68" t="s">
        <v>35</v>
      </c>
      <c r="C40" s="69"/>
      <c r="D40" s="69"/>
      <c r="E40" s="69"/>
      <c r="F40" s="69"/>
      <c r="G40" s="69"/>
      <c r="H40" s="69"/>
      <c r="I40" s="69"/>
      <c r="J40" s="69"/>
      <c r="K40" s="70"/>
      <c r="L40" s="65">
        <f>IF(KANYU="","",IF(L39&gt;IR_GND,L39-IR_GND,0))</f>
        <v>0</v>
      </c>
      <c r="M40" s="66"/>
      <c r="N40" s="66"/>
      <c r="O40" s="67"/>
      <c r="P40" s="32" t="s">
        <v>9</v>
      </c>
      <c r="Q40" s="65">
        <f>IF(KANYU="","",IF(Q39&gt;SI_GND,Q39-SI_GND,0))</f>
        <v>0</v>
      </c>
      <c r="R40" s="66"/>
      <c r="S40" s="66"/>
      <c r="T40" s="67"/>
      <c r="U40" s="32" t="s">
        <v>9</v>
      </c>
      <c r="V40" s="65">
        <f>IF(KANYU="","",IF(V39&gt;KG_GND,V39-KG_GND,0))</f>
        <v>0</v>
      </c>
      <c r="W40" s="66"/>
      <c r="X40" s="66"/>
      <c r="Y40" s="67"/>
      <c r="Z40" s="32" t="s">
        <v>9</v>
      </c>
      <c r="AA40" s="65">
        <f>IF(KANYU="","",IF(AA39&gt;KD_GND,AA39-KD_GND,0))</f>
        <v>0</v>
      </c>
      <c r="AB40" s="66"/>
      <c r="AC40" s="66"/>
      <c r="AD40" s="67"/>
      <c r="AE40" s="32" t="s">
        <v>9</v>
      </c>
      <c r="AF40" s="32"/>
      <c r="AI40" s="28"/>
      <c r="AJ40" s="28"/>
      <c r="AK40" s="28"/>
      <c r="AL40" s="28"/>
      <c r="AM40" s="28"/>
      <c r="AN40" s="28"/>
      <c r="AO40" s="28"/>
      <c r="AP40" s="28"/>
      <c r="AQ40" s="28"/>
      <c r="AR40" s="28"/>
      <c r="AS40" s="28"/>
      <c r="AT40" s="28"/>
      <c r="AU40" s="28"/>
      <c r="AV40" s="28"/>
      <c r="AW40" s="28"/>
      <c r="AX40" s="28"/>
      <c r="AY40" s="28"/>
      <c r="AZ40" s="28"/>
      <c r="BA40" s="28"/>
      <c r="BB40" s="28"/>
      <c r="BC40" s="28"/>
      <c r="CC40" s="4" t="s">
        <v>32</v>
      </c>
      <c r="CD40" s="47">
        <v>0</v>
      </c>
    </row>
    <row r="41" spans="2:87" ht="18.899999999999999" customHeight="1" x14ac:dyDescent="0.2">
      <c r="B41" s="68" t="s">
        <v>48</v>
      </c>
      <c r="C41" s="69"/>
      <c r="D41" s="69"/>
      <c r="E41" s="69"/>
      <c r="F41" s="69"/>
      <c r="G41" s="69"/>
      <c r="H41" s="69"/>
      <c r="I41" s="69"/>
      <c r="J41" s="69"/>
      <c r="K41" s="70"/>
      <c r="L41" s="65">
        <f>IF(KANYU="","",L39-L40)</f>
        <v>0</v>
      </c>
      <c r="M41" s="66"/>
      <c r="N41" s="66"/>
      <c r="O41" s="67"/>
      <c r="P41" s="32" t="s">
        <v>9</v>
      </c>
      <c r="Q41" s="65">
        <f>IF(KANYU="","",Q39-Q40)</f>
        <v>0</v>
      </c>
      <c r="R41" s="66"/>
      <c r="S41" s="66"/>
      <c r="T41" s="67"/>
      <c r="U41" s="32" t="s">
        <v>9</v>
      </c>
      <c r="V41" s="65">
        <f>IF(KANYU="","",V39-V40)</f>
        <v>0</v>
      </c>
      <c r="W41" s="66"/>
      <c r="X41" s="66"/>
      <c r="Y41" s="67"/>
      <c r="Z41" s="32" t="s">
        <v>9</v>
      </c>
      <c r="AA41" s="65">
        <f>IF(KANYU="","",AA39-AA40)</f>
        <v>0</v>
      </c>
      <c r="AB41" s="66"/>
      <c r="AC41" s="66"/>
      <c r="AD41" s="67"/>
      <c r="AE41" s="32" t="s">
        <v>9</v>
      </c>
      <c r="AF41" s="32"/>
      <c r="CC41" s="4" t="s">
        <v>73</v>
      </c>
      <c r="CD41" s="48">
        <v>170000</v>
      </c>
    </row>
    <row r="42" spans="2:87" ht="18.899999999999999" customHeight="1" x14ac:dyDescent="0.2">
      <c r="B42" s="68" t="s">
        <v>49</v>
      </c>
      <c r="C42" s="69"/>
      <c r="D42" s="69"/>
      <c r="E42" s="69"/>
      <c r="F42" s="69"/>
      <c r="G42" s="69"/>
      <c r="H42" s="69"/>
      <c r="I42" s="69"/>
      <c r="J42" s="69"/>
      <c r="K42" s="70"/>
      <c r="L42" s="65">
        <f>IF(KANYU&lt;&gt;"",TRUNC(L41/12*LEFT(KANYU,LEN(KANYU)-2),-2),"")</f>
        <v>0</v>
      </c>
      <c r="M42" s="66"/>
      <c r="N42" s="66"/>
      <c r="O42" s="67"/>
      <c r="P42" s="32" t="s">
        <v>9</v>
      </c>
      <c r="Q42" s="65">
        <f>IF(KANYU&lt;&gt;"",TRUNC(Q41/12*LEFT(KANYU,LEN(KANYU)-2),-2),"")</f>
        <v>0</v>
      </c>
      <c r="R42" s="66"/>
      <c r="S42" s="66"/>
      <c r="T42" s="67"/>
      <c r="U42" s="32" t="s">
        <v>9</v>
      </c>
      <c r="V42" s="65">
        <f>IF(KANYU&lt;&gt;"",TRUNC(V41/12*LEFT(KANYU,LEN(KANYU)-2),-2),"")</f>
        <v>0</v>
      </c>
      <c r="W42" s="66"/>
      <c r="X42" s="66"/>
      <c r="Y42" s="67"/>
      <c r="Z42" s="32" t="s">
        <v>9</v>
      </c>
      <c r="AA42" s="65">
        <f>IF(KANYU&lt;&gt;"",TRUNC(AA41/12*LEFT(KANYU,LEN(KANYU)-2),-2),"")</f>
        <v>0</v>
      </c>
      <c r="AB42" s="66"/>
      <c r="AC42" s="66"/>
      <c r="AD42" s="67"/>
      <c r="AE42" s="32" t="s">
        <v>9</v>
      </c>
      <c r="AF42" s="32"/>
      <c r="CB42" s="4" t="s">
        <v>61</v>
      </c>
      <c r="CC42" s="4" t="s">
        <v>63</v>
      </c>
      <c r="CD42" s="47">
        <v>2.5999999999999999E-3</v>
      </c>
    </row>
    <row r="43" spans="2:87" ht="18.899999999999999" customHeight="1" x14ac:dyDescent="0.2">
      <c r="CC43" s="4" t="s">
        <v>64</v>
      </c>
      <c r="CD43" s="47">
        <v>0</v>
      </c>
    </row>
    <row r="44" spans="2:87" ht="18.899999999999999" customHeight="1" x14ac:dyDescent="0.2">
      <c r="B44" s="50" t="s">
        <v>97</v>
      </c>
      <c r="C44" s="51"/>
      <c r="D44" s="52"/>
      <c r="E44" s="53" t="s">
        <v>76</v>
      </c>
      <c r="F44" s="53"/>
      <c r="G44" s="53"/>
      <c r="H44" s="53" t="s">
        <v>77</v>
      </c>
      <c r="I44" s="53"/>
      <c r="J44" s="53"/>
      <c r="K44" s="53" t="s">
        <v>74</v>
      </c>
      <c r="L44" s="53"/>
      <c r="M44" s="53"/>
      <c r="N44" s="53" t="s">
        <v>78</v>
      </c>
      <c r="O44" s="53"/>
      <c r="P44" s="53"/>
      <c r="CC44" s="4" t="s">
        <v>62</v>
      </c>
      <c r="CD44" s="47">
        <v>1600</v>
      </c>
    </row>
    <row r="45" spans="2:87" ht="18.899999999999999" customHeight="1" x14ac:dyDescent="0.2">
      <c r="B45" s="53" t="s">
        <v>79</v>
      </c>
      <c r="C45" s="53"/>
      <c r="D45" s="53"/>
      <c r="E45" s="64">
        <v>7.6399999999999996E-2</v>
      </c>
      <c r="F45" s="64"/>
      <c r="G45" s="64"/>
      <c r="H45" s="64">
        <v>2.7300000000000001E-2</v>
      </c>
      <c r="I45" s="64"/>
      <c r="J45" s="64"/>
      <c r="K45" s="64">
        <v>2.3699999999999999E-2</v>
      </c>
      <c r="L45" s="64"/>
      <c r="M45" s="64"/>
      <c r="N45" s="64">
        <v>2.5999999999999999E-3</v>
      </c>
      <c r="O45" s="64"/>
      <c r="P45" s="64"/>
      <c r="CC45" s="4" t="s">
        <v>66</v>
      </c>
      <c r="CD45" s="47">
        <v>100</v>
      </c>
    </row>
    <row r="46" spans="2:87" ht="18.899999999999999" customHeight="1" x14ac:dyDescent="0.2">
      <c r="B46" s="53" t="s">
        <v>80</v>
      </c>
      <c r="C46" s="53"/>
      <c r="D46" s="53"/>
      <c r="E46" s="63" t="s">
        <v>83</v>
      </c>
      <c r="F46" s="63"/>
      <c r="G46" s="63"/>
      <c r="H46" s="63" t="s">
        <v>84</v>
      </c>
      <c r="I46" s="63"/>
      <c r="J46" s="63"/>
      <c r="K46" s="63" t="s">
        <v>85</v>
      </c>
      <c r="L46" s="63"/>
      <c r="M46" s="63"/>
      <c r="N46" s="63" t="s">
        <v>86</v>
      </c>
      <c r="O46" s="63"/>
      <c r="P46" s="63"/>
      <c r="CC46" s="4" t="s">
        <v>65</v>
      </c>
      <c r="CD46" s="47">
        <v>0</v>
      </c>
    </row>
    <row r="47" spans="2:87" ht="18.899999999999999" customHeight="1" x14ac:dyDescent="0.2">
      <c r="B47" s="53" t="s">
        <v>98</v>
      </c>
      <c r="C47" s="53"/>
      <c r="D47" s="53"/>
      <c r="E47" s="63" t="s">
        <v>99</v>
      </c>
      <c r="F47" s="63"/>
      <c r="G47" s="63"/>
      <c r="H47" s="63" t="s">
        <v>100</v>
      </c>
      <c r="I47" s="63"/>
      <c r="J47" s="63"/>
      <c r="K47" s="63" t="s">
        <v>101</v>
      </c>
      <c r="L47" s="63"/>
      <c r="M47" s="63"/>
      <c r="N47" s="63" t="s">
        <v>102</v>
      </c>
      <c r="O47" s="63"/>
      <c r="P47" s="63"/>
      <c r="CC47" s="4" t="s">
        <v>67</v>
      </c>
      <c r="CD47" s="47">
        <v>30000</v>
      </c>
    </row>
    <row r="49" spans="35:36" ht="18.899999999999999" customHeight="1" x14ac:dyDescent="0.2">
      <c r="AI49" s="1"/>
      <c r="AJ49" s="1"/>
    </row>
  </sheetData>
  <sheetProtection algorithmName="SHA-512" hashValue="4kl8iRxX4bFwRjWX9Ys3sytdJVfqPJJ89lVqzuwXCO9pPKpv7cYyfTZA5GoYJ9x9XI8G2wkuaxcnMaANVW7wjg==" saltValue="k5Ug4bGvNqHqAGl/DrNb2A==" spinCount="100000" sheet="1" selectLockedCells="1"/>
  <mergeCells count="152">
    <mergeCell ref="AX18:BC18"/>
    <mergeCell ref="AX19:BC19"/>
    <mergeCell ref="AX20:BC20"/>
    <mergeCell ref="AX21:BC21"/>
    <mergeCell ref="AR17:AW17"/>
    <mergeCell ref="AR18:AW18"/>
    <mergeCell ref="AA36:AF36"/>
    <mergeCell ref="AA37:AD37"/>
    <mergeCell ref="AA38:AD38"/>
    <mergeCell ref="AF19:AK19"/>
    <mergeCell ref="AF20:AK20"/>
    <mergeCell ref="AF21:AK21"/>
    <mergeCell ref="AF22:AK22"/>
    <mergeCell ref="AC25:AD25"/>
    <mergeCell ref="AL22:AQ22"/>
    <mergeCell ref="AF25:AK25"/>
    <mergeCell ref="AL18:AQ18"/>
    <mergeCell ref="AL19:AQ19"/>
    <mergeCell ref="AL20:AQ20"/>
    <mergeCell ref="AA17:AB17"/>
    <mergeCell ref="AA18:AB18"/>
    <mergeCell ref="AA19:AB19"/>
    <mergeCell ref="AA20:AB20"/>
    <mergeCell ref="AA21:AB21"/>
    <mergeCell ref="U17:Z17"/>
    <mergeCell ref="U18:Z18"/>
    <mergeCell ref="AL21:AQ21"/>
    <mergeCell ref="B10:G10"/>
    <mergeCell ref="Q10:V10"/>
    <mergeCell ref="AX22:BC22"/>
    <mergeCell ref="AX23:BC23"/>
    <mergeCell ref="AX24:BC24"/>
    <mergeCell ref="AX25:BC25"/>
    <mergeCell ref="AL23:AQ23"/>
    <mergeCell ref="AX17:BC17"/>
    <mergeCell ref="AR19:AW19"/>
    <mergeCell ref="AR20:AW20"/>
    <mergeCell ref="AR21:AW21"/>
    <mergeCell ref="AC17:AD17"/>
    <mergeCell ref="AL24:AQ24"/>
    <mergeCell ref="AL25:AQ25"/>
    <mergeCell ref="AR22:AW22"/>
    <mergeCell ref="AR23:AW23"/>
    <mergeCell ref="AR24:AW24"/>
    <mergeCell ref="AR25:AW25"/>
    <mergeCell ref="AL17:AQ17"/>
    <mergeCell ref="AF17:AK17"/>
    <mergeCell ref="AF18:AK18"/>
    <mergeCell ref="AA22:AB22"/>
    <mergeCell ref="AA23:AB23"/>
    <mergeCell ref="AA24:AB24"/>
    <mergeCell ref="AA25:AB25"/>
    <mergeCell ref="I19:N19"/>
    <mergeCell ref="B20:H20"/>
    <mergeCell ref="I20:N20"/>
    <mergeCell ref="B19:H19"/>
    <mergeCell ref="B21:H21"/>
    <mergeCell ref="I21:N21"/>
    <mergeCell ref="B22:H22"/>
    <mergeCell ref="I22:N22"/>
    <mergeCell ref="V38:Y38"/>
    <mergeCell ref="R33:W33"/>
    <mergeCell ref="V36:Z36"/>
    <mergeCell ref="B37:K37"/>
    <mergeCell ref="L37:O37"/>
    <mergeCell ref="Q37:T37"/>
    <mergeCell ref="V37:Y37"/>
    <mergeCell ref="U20:Z20"/>
    <mergeCell ref="Q36:U36"/>
    <mergeCell ref="U25:Z25"/>
    <mergeCell ref="B24:H24"/>
    <mergeCell ref="I24:N24"/>
    <mergeCell ref="L36:P36"/>
    <mergeCell ref="O22:T22"/>
    <mergeCell ref="O25:T25"/>
    <mergeCell ref="R31:W31"/>
    <mergeCell ref="B25:H25"/>
    <mergeCell ref="I25:N25"/>
    <mergeCell ref="O20:T20"/>
    <mergeCell ref="O21:T21"/>
    <mergeCell ref="AF23:AK23"/>
    <mergeCell ref="O18:T18"/>
    <mergeCell ref="V42:Y42"/>
    <mergeCell ref="U21:Z21"/>
    <mergeCell ref="B39:K39"/>
    <mergeCell ref="L39:O39"/>
    <mergeCell ref="Q39:T39"/>
    <mergeCell ref="V39:Y39"/>
    <mergeCell ref="B40:K40"/>
    <mergeCell ref="L40:O40"/>
    <mergeCell ref="Q40:T40"/>
    <mergeCell ref="B41:K41"/>
    <mergeCell ref="L41:O41"/>
    <mergeCell ref="Q41:T41"/>
    <mergeCell ref="V41:Y41"/>
    <mergeCell ref="B36:K36"/>
    <mergeCell ref="U22:Z22"/>
    <mergeCell ref="U23:Z23"/>
    <mergeCell ref="U24:Z24"/>
    <mergeCell ref="B38:K38"/>
    <mergeCell ref="L38:O38"/>
    <mergeCell ref="AA39:AD39"/>
    <mergeCell ref="AA40:AD40"/>
    <mergeCell ref="Q38:T38"/>
    <mergeCell ref="AA41:AD41"/>
    <mergeCell ref="AA42:AD42"/>
    <mergeCell ref="V40:Y40"/>
    <mergeCell ref="B42:K42"/>
    <mergeCell ref="L42:O42"/>
    <mergeCell ref="Q42:T42"/>
    <mergeCell ref="A3:BC8"/>
    <mergeCell ref="B14:H14"/>
    <mergeCell ref="O23:T23"/>
    <mergeCell ref="O24:T24"/>
    <mergeCell ref="U19:Z19"/>
    <mergeCell ref="AC18:AD18"/>
    <mergeCell ref="AC19:AD19"/>
    <mergeCell ref="AC20:AD20"/>
    <mergeCell ref="AC21:AD21"/>
    <mergeCell ref="AC22:AD22"/>
    <mergeCell ref="AC23:AD23"/>
    <mergeCell ref="AC24:AD24"/>
    <mergeCell ref="B17:H17"/>
    <mergeCell ref="I17:N17"/>
    <mergeCell ref="B18:H18"/>
    <mergeCell ref="I18:N18"/>
    <mergeCell ref="C11:F11"/>
    <mergeCell ref="AF24:AK24"/>
    <mergeCell ref="B44:D44"/>
    <mergeCell ref="E44:G44"/>
    <mergeCell ref="H44:J44"/>
    <mergeCell ref="K44:M44"/>
    <mergeCell ref="N44:P44"/>
    <mergeCell ref="B23:H23"/>
    <mergeCell ref="O17:T17"/>
    <mergeCell ref="I23:N23"/>
    <mergeCell ref="B47:D47"/>
    <mergeCell ref="E47:G47"/>
    <mergeCell ref="H47:J47"/>
    <mergeCell ref="K47:M47"/>
    <mergeCell ref="N47:P47"/>
    <mergeCell ref="B45:D45"/>
    <mergeCell ref="E45:G45"/>
    <mergeCell ref="H45:J45"/>
    <mergeCell ref="K45:M45"/>
    <mergeCell ref="N45:P45"/>
    <mergeCell ref="B46:D46"/>
    <mergeCell ref="E46:G46"/>
    <mergeCell ref="H46:J46"/>
    <mergeCell ref="K46:M46"/>
    <mergeCell ref="N46:P46"/>
    <mergeCell ref="O19:T19"/>
  </mergeCells>
  <phoneticPr fontId="2"/>
  <dataValidations count="8">
    <dataValidation type="whole" allowBlank="1" showInputMessage="1" showErrorMessage="1" error="整数を入力してください。_x000a_マイナスの場合は、0を入力してください。" sqref="I18:T25 AJ28:BB30" xr:uid="{00000000-0002-0000-0000-000000000000}">
      <formula1>0</formula1>
      <formula2>99999999</formula2>
    </dataValidation>
    <dataValidation type="list" allowBlank="1" showInputMessage="1" showErrorMessage="1" error="加入期間を選択してください。" sqref="H10 F15:I15" xr:uid="{00000000-0002-0000-0000-000002000000}">
      <formula1>$CD$7:$CD$23</formula1>
    </dataValidation>
    <dataValidation allowBlank="1" showInputMessage="1" showErrorMessage="1" error="整数を入力してください。_x000a_マイナスの場合は、0を入力してください。" sqref="AF18:BC25" xr:uid="{00000000-0002-0000-0000-000003000000}"/>
    <dataValidation type="whole" allowBlank="1" showInputMessage="1" showErrorMessage="1" error="整数を入力してください。_x000a_マイナスの場合は、0を入力してください。" sqref="U18:Z25" xr:uid="{00000000-0002-0000-0000-000004000000}">
      <formula1>-9999999</formula1>
      <formula2>99999999</formula2>
    </dataValidation>
    <dataValidation type="list" allowBlank="1" showInputMessage="1" showErrorMessage="1" error="年齢区分を選択してください。" sqref="B18:H25" xr:uid="{00000000-0002-0000-0000-000001000000}">
      <formula1>$CD$1:$CD$7</formula1>
    </dataValidation>
    <dataValidation type="list" allowBlank="1" showInputMessage="1" showErrorMessage="1" error="選択してください。" sqref="AA18:AB25" xr:uid="{4934114B-E041-4116-80A0-DDBE03211BA8}">
      <formula1>"　,該当"</formula1>
    </dataValidation>
    <dataValidation type="list" allowBlank="1" showInputMessage="1" showErrorMessage="1" error="選択してください。" sqref="AC18:AD18" xr:uid="{AC6340C4-D837-49A3-B945-85FF39B6CA21}">
      <formula1>"非加入"</formula1>
    </dataValidation>
    <dataValidation type="list" allowBlank="1" showInputMessage="1" showErrorMessage="1" error="加入期間を選択してください。" sqref="B14:H14" xr:uid="{4C83185D-53CB-4CBC-9DB6-A59DBA8223CB}">
      <formula1>$CD$8:$CD$19</formula1>
    </dataValidation>
  </dataValidations>
  <pageMargins left="0.70866141732283472" right="0.51181102362204722" top="0.74803149606299213" bottom="0.74803149606299213" header="0.31496062992125984" footer="0.31496062992125984"/>
  <pageSetup paperSize="9" scale="71" orientation="landscape" r:id="rId1"/>
  <ignoredErrors>
    <ignoredError sqref="M41:O41 R41:T41 W41:Y41 M39:O39 R39:T39 W39:Y39 M42:O42 R42:T42 W42:Y42 M40:O40 R40:T40 W40:Y40"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82</vt:i4>
      </vt:variant>
    </vt:vector>
  </HeadingPairs>
  <TitlesOfParts>
    <vt:vector size="83" baseType="lpstr">
      <vt:lpstr>試算表</vt:lpstr>
      <vt:lpstr>AGE_0</vt:lpstr>
      <vt:lpstr>AGE_1</vt:lpstr>
      <vt:lpstr>AGE_2</vt:lpstr>
      <vt:lpstr>AGE_3</vt:lpstr>
      <vt:lpstr>AGE_4</vt:lpstr>
      <vt:lpstr>AGE_5</vt:lpstr>
      <vt:lpstr>AGE_6</vt:lpstr>
      <vt:lpstr>GND</vt:lpstr>
      <vt:lpstr>IR_BYO</vt:lpstr>
      <vt:lpstr>IR_GND</vt:lpstr>
      <vt:lpstr>IR_KIN</vt:lpstr>
      <vt:lpstr>IR_SAN</vt:lpstr>
      <vt:lpstr>IR_SYT</vt:lpstr>
      <vt:lpstr>KANYU</vt:lpstr>
      <vt:lpstr>KD_18KIN</vt:lpstr>
      <vt:lpstr>KD_BYO</vt:lpstr>
      <vt:lpstr>KD_GND</vt:lpstr>
      <vt:lpstr>KD_KIN</vt:lpstr>
      <vt:lpstr>KD_SAN</vt:lpstr>
      <vt:lpstr>KD_SYT</vt:lpstr>
      <vt:lpstr>KG_BYO</vt:lpstr>
      <vt:lpstr>KG_GND</vt:lpstr>
      <vt:lpstr>KG_KIN</vt:lpstr>
      <vt:lpstr>KG_SAN</vt:lpstr>
      <vt:lpstr>KG_SYT</vt:lpstr>
      <vt:lpstr>KGN</vt:lpstr>
      <vt:lpstr>KISO_0</vt:lpstr>
      <vt:lpstr>KISO_1</vt:lpstr>
      <vt:lpstr>KISO_2</vt:lpstr>
      <vt:lpstr>KISO_3</vt:lpstr>
      <vt:lpstr>KJ_0</vt:lpstr>
      <vt:lpstr>KJ_1</vt:lpstr>
      <vt:lpstr>KJ_10</vt:lpstr>
      <vt:lpstr>KJ_7</vt:lpstr>
      <vt:lpstr>KJ_8</vt:lpstr>
      <vt:lpstr>KJ_9</vt:lpstr>
      <vt:lpstr>KR_7</vt:lpstr>
      <vt:lpstr>KR_8</vt:lpstr>
      <vt:lpstr>KR_9</vt:lpstr>
      <vt:lpstr>KS_0</vt:lpstr>
      <vt:lpstr>KS_1</vt:lpstr>
      <vt:lpstr>KS_10</vt:lpstr>
      <vt:lpstr>KS_7</vt:lpstr>
      <vt:lpstr>KS_8</vt:lpstr>
      <vt:lpstr>KS_9</vt:lpstr>
      <vt:lpstr>KS_KJ_0</vt:lpstr>
      <vt:lpstr>KS_KJ_1</vt:lpstr>
      <vt:lpstr>KS_KJ_2</vt:lpstr>
      <vt:lpstr>KS_KJ_3</vt:lpstr>
      <vt:lpstr>NK_64_0</vt:lpstr>
      <vt:lpstr>NK_64_1</vt:lpstr>
      <vt:lpstr>NK_64_2</vt:lpstr>
      <vt:lpstr>NK_64_3</vt:lpstr>
      <vt:lpstr>NK_64_4</vt:lpstr>
      <vt:lpstr>NK_65_0</vt:lpstr>
      <vt:lpstr>NK_65_1</vt:lpstr>
      <vt:lpstr>NK_65_2</vt:lpstr>
      <vt:lpstr>NK_65_3</vt:lpstr>
      <vt:lpstr>NK_65_4</vt:lpstr>
      <vt:lpstr>NR_64_1</vt:lpstr>
      <vt:lpstr>NR_64_2</vt:lpstr>
      <vt:lpstr>NR_64_3</vt:lpstr>
      <vt:lpstr>NR_65_1</vt:lpstr>
      <vt:lpstr>NR_65_2</vt:lpstr>
      <vt:lpstr>NR_65_3</vt:lpstr>
      <vt:lpstr>NS_64_0</vt:lpstr>
      <vt:lpstr>NS_64_1</vt:lpstr>
      <vt:lpstr>NS_64_2</vt:lpstr>
      <vt:lpstr>NS_64_3</vt:lpstr>
      <vt:lpstr>NS_64_4</vt:lpstr>
      <vt:lpstr>NS_65_0</vt:lpstr>
      <vt:lpstr>NS_65_1</vt:lpstr>
      <vt:lpstr>NS_65_2</vt:lpstr>
      <vt:lpstr>NS_65_3</vt:lpstr>
      <vt:lpstr>NS_65_4</vt:lpstr>
      <vt:lpstr>試算表!Print_Area</vt:lpstr>
      <vt:lpstr>SI_BYO</vt:lpstr>
      <vt:lpstr>SI_GND</vt:lpstr>
      <vt:lpstr>SI_KIN</vt:lpstr>
      <vt:lpstr>SI_SAN</vt:lpstr>
      <vt:lpstr>SI_SYT</vt:lpstr>
      <vt:lpstr>お知らせ</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u1618</dc:creator>
  <cp:lastModifiedBy>さいたま市</cp:lastModifiedBy>
  <cp:lastPrinted>2026-02-05T07:21:43Z</cp:lastPrinted>
  <dcterms:created xsi:type="dcterms:W3CDTF">2015-04-13T00:30:48Z</dcterms:created>
  <dcterms:modified xsi:type="dcterms:W3CDTF">2026-03-18T04:18:52Z</dcterms:modified>
</cp:coreProperties>
</file>